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8326"/>
  <workbookPr filterPrivacy="1"/>
  <xr:revisionPtr revIDLastSave="52" documentId="A5EC048CD2B65B179FAC44E95275C44533738BCC" xr6:coauthVersionLast="21" xr6:coauthVersionMax="21" xr10:uidLastSave="{7CAD54FC-011D-444E-888C-2D76046B6475}"/>
  <bookViews>
    <workbookView xWindow="0" yWindow="465" windowWidth="28800" windowHeight="16065" xr2:uid="{00000000-000D-0000-FFFF-FFFF00000000}"/>
  </bookViews>
  <sheets>
    <sheet name="Summary" sheetId="4" r:id="rId1"/>
    <sheet name="RESP vs Taxable Account 7% Nom" sheetId="3" r:id="rId2"/>
    <sheet name="RESP vs Taxable Account 5% Real" sheetId="2" r:id="rId3"/>
  </sheets>
  <calcPr calcId="171027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24" i="2" l="1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138" i="3"/>
  <c r="F15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F12" i="3"/>
  <c r="F13" i="3"/>
  <c r="F14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D126" i="3"/>
  <c r="F127" i="3"/>
  <c r="G127" i="3"/>
  <c r="G125" i="3"/>
  <c r="G126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F124" i="3"/>
  <c r="F125" i="3"/>
  <c r="F126" i="3"/>
  <c r="F128" i="3"/>
  <c r="F129" i="3"/>
  <c r="F130" i="3"/>
  <c r="F131" i="3"/>
  <c r="F132" i="3"/>
  <c r="F133" i="3"/>
  <c r="F134" i="3"/>
  <c r="F135" i="3"/>
  <c r="F136" i="3"/>
  <c r="F137" i="3"/>
  <c r="F139" i="3"/>
  <c r="F140" i="3"/>
  <c r="F141" i="3"/>
  <c r="F142" i="3"/>
  <c r="F143" i="3"/>
  <c r="F144" i="3"/>
  <c r="G124" i="3"/>
  <c r="Q96" i="3"/>
  <c r="R96" i="3"/>
  <c r="S96" i="3"/>
  <c r="W96" i="3"/>
  <c r="X96" i="3"/>
  <c r="AD96" i="3"/>
  <c r="E3" i="2"/>
  <c r="AB152" i="2"/>
  <c r="AB153" i="2"/>
  <c r="AB154" i="2"/>
  <c r="AB155" i="2"/>
  <c r="AB156" i="2"/>
  <c r="AB157" i="2"/>
  <c r="AB158" i="2"/>
  <c r="AB159" i="2"/>
  <c r="AB160" i="2"/>
  <c r="AB161" i="2"/>
  <c r="AB162" i="2"/>
  <c r="AB163" i="2"/>
  <c r="AB164" i="2"/>
  <c r="AB165" i="2"/>
  <c r="AB166" i="2"/>
  <c r="AB167" i="2"/>
  <c r="AB168" i="2"/>
  <c r="X151" i="2"/>
  <c r="Y151" i="2"/>
  <c r="AD151" i="2"/>
  <c r="AE151" i="2"/>
  <c r="AG151" i="2"/>
  <c r="X152" i="2"/>
  <c r="AD152" i="2"/>
  <c r="Y152" i="2"/>
  <c r="AE152" i="2"/>
  <c r="AG152" i="2"/>
  <c r="X153" i="2"/>
  <c r="AD153" i="2"/>
  <c r="Y153" i="2"/>
  <c r="AE153" i="2"/>
  <c r="AG153" i="2"/>
  <c r="X154" i="2"/>
  <c r="AD154" i="2"/>
  <c r="Y154" i="2"/>
  <c r="AE154" i="2"/>
  <c r="AG154" i="2"/>
  <c r="X155" i="2"/>
  <c r="AD155" i="2"/>
  <c r="Y155" i="2"/>
  <c r="AE155" i="2"/>
  <c r="AG155" i="2"/>
  <c r="X156" i="2"/>
  <c r="AD156" i="2"/>
  <c r="Y156" i="2"/>
  <c r="AE156" i="2"/>
  <c r="AG156" i="2"/>
  <c r="X157" i="2"/>
  <c r="AD157" i="2"/>
  <c r="Y157" i="2"/>
  <c r="AE157" i="2"/>
  <c r="AG157" i="2"/>
  <c r="X158" i="2"/>
  <c r="AD158" i="2"/>
  <c r="Y158" i="2"/>
  <c r="AE158" i="2"/>
  <c r="AG158" i="2"/>
  <c r="X159" i="2"/>
  <c r="AD159" i="2"/>
  <c r="Y159" i="2"/>
  <c r="AE159" i="2"/>
  <c r="AG159" i="2"/>
  <c r="X160" i="2"/>
  <c r="AD160" i="2"/>
  <c r="Y160" i="2"/>
  <c r="AE160" i="2"/>
  <c r="AG160" i="2"/>
  <c r="X161" i="2"/>
  <c r="AD161" i="2"/>
  <c r="Y161" i="2"/>
  <c r="AE161" i="2"/>
  <c r="AG161" i="2"/>
  <c r="X162" i="2"/>
  <c r="AD162" i="2"/>
  <c r="Y162" i="2"/>
  <c r="AE162" i="2"/>
  <c r="AG162" i="2"/>
  <c r="X163" i="2"/>
  <c r="AD163" i="2"/>
  <c r="Y163" i="2"/>
  <c r="AE163" i="2"/>
  <c r="AG163" i="2"/>
  <c r="X164" i="2"/>
  <c r="AD164" i="2"/>
  <c r="Y164" i="2"/>
  <c r="AE164" i="2"/>
  <c r="AG164" i="2"/>
  <c r="AD165" i="2"/>
  <c r="Y165" i="2"/>
  <c r="AE165" i="2"/>
  <c r="AG165" i="2"/>
  <c r="AD166" i="2"/>
  <c r="Y166" i="2"/>
  <c r="AE166" i="2"/>
  <c r="AG166" i="2"/>
  <c r="AD167" i="2"/>
  <c r="Y167" i="2"/>
  <c r="AE167" i="2"/>
  <c r="AG167" i="2"/>
  <c r="AD168" i="2"/>
  <c r="Y168" i="2"/>
  <c r="Z151" i="2"/>
  <c r="Z152" i="2"/>
  <c r="Z153" i="2"/>
  <c r="Z154" i="2"/>
  <c r="Z155" i="2"/>
  <c r="Z156" i="2"/>
  <c r="Z157" i="2"/>
  <c r="Z158" i="2"/>
  <c r="Z159" i="2"/>
  <c r="Z160" i="2"/>
  <c r="Z161" i="2"/>
  <c r="Z162" i="2"/>
  <c r="Z163" i="2"/>
  <c r="Z164" i="2"/>
  <c r="Z165" i="2"/>
  <c r="Z166" i="2"/>
  <c r="Z167" i="2"/>
  <c r="Z168" i="2"/>
  <c r="AA168" i="2"/>
  <c r="AE168" i="2"/>
  <c r="AH168" i="2"/>
  <c r="AL169" i="2"/>
  <c r="AF6" i="2"/>
  <c r="AS169" i="2"/>
  <c r="AT169" i="2"/>
  <c r="AJ170" i="2"/>
  <c r="AB169" i="2"/>
  <c r="AM169" i="2"/>
  <c r="AG168" i="2"/>
  <c r="AK169" i="2"/>
  <c r="AN169" i="2"/>
  <c r="AD169" i="2"/>
  <c r="Y169" i="2"/>
  <c r="Z169" i="2"/>
  <c r="AA169" i="2"/>
  <c r="AE169" i="2"/>
  <c r="AH169" i="2"/>
  <c r="AL170" i="2"/>
  <c r="AS170" i="2"/>
  <c r="AT170" i="2"/>
  <c r="AJ171" i="2"/>
  <c r="AB170" i="2"/>
  <c r="AM170" i="2"/>
  <c r="AG169" i="2"/>
  <c r="AK170" i="2"/>
  <c r="AN170" i="2"/>
  <c r="AD170" i="2"/>
  <c r="Y170" i="2"/>
  <c r="Z170" i="2"/>
  <c r="AA170" i="2"/>
  <c r="AE170" i="2"/>
  <c r="AH170" i="2"/>
  <c r="AL171" i="2"/>
  <c r="AS171" i="2"/>
  <c r="AT171" i="2"/>
  <c r="AJ172" i="2"/>
  <c r="AB171" i="2"/>
  <c r="AM171" i="2"/>
  <c r="AG170" i="2"/>
  <c r="AK171" i="2"/>
  <c r="AN171" i="2"/>
  <c r="AD171" i="2"/>
  <c r="Y171" i="2"/>
  <c r="Z171" i="2"/>
  <c r="AA171" i="2"/>
  <c r="AE171" i="2"/>
  <c r="AH171" i="2"/>
  <c r="AL172" i="2"/>
  <c r="AS172" i="2"/>
  <c r="AT172" i="2"/>
  <c r="AT173" i="2"/>
  <c r="Q22" i="4"/>
  <c r="S175" i="2"/>
  <c r="J22" i="4"/>
  <c r="S22" i="4"/>
  <c r="AT145" i="2"/>
  <c r="Q21" i="4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D123" i="2"/>
  <c r="G123" i="2"/>
  <c r="H123" i="2"/>
  <c r="I123" i="2"/>
  <c r="J123" i="2"/>
  <c r="K123" i="2"/>
  <c r="D124" i="2"/>
  <c r="H124" i="2"/>
  <c r="I124" i="2"/>
  <c r="J124" i="2"/>
  <c r="K124" i="2"/>
  <c r="D125" i="2"/>
  <c r="H125" i="2"/>
  <c r="I125" i="2"/>
  <c r="J125" i="2"/>
  <c r="K125" i="2"/>
  <c r="D126" i="2"/>
  <c r="H126" i="2"/>
  <c r="I126" i="2"/>
  <c r="J126" i="2"/>
  <c r="K126" i="2"/>
  <c r="D127" i="2"/>
  <c r="H127" i="2"/>
  <c r="I127" i="2"/>
  <c r="J127" i="2"/>
  <c r="K127" i="2"/>
  <c r="D128" i="2"/>
  <c r="H128" i="2"/>
  <c r="I128" i="2"/>
  <c r="J128" i="2"/>
  <c r="K128" i="2"/>
  <c r="D129" i="2"/>
  <c r="H129" i="2"/>
  <c r="I129" i="2"/>
  <c r="J129" i="2"/>
  <c r="K129" i="2"/>
  <c r="D130" i="2"/>
  <c r="H130" i="2"/>
  <c r="I130" i="2"/>
  <c r="J130" i="2"/>
  <c r="K130" i="2"/>
  <c r="D131" i="2"/>
  <c r="H131" i="2"/>
  <c r="I131" i="2"/>
  <c r="J131" i="2"/>
  <c r="K131" i="2"/>
  <c r="D132" i="2"/>
  <c r="H132" i="2"/>
  <c r="I132" i="2"/>
  <c r="J132" i="2"/>
  <c r="K132" i="2"/>
  <c r="D133" i="2"/>
  <c r="H133" i="2"/>
  <c r="I133" i="2"/>
  <c r="J133" i="2"/>
  <c r="K133" i="2"/>
  <c r="D134" i="2"/>
  <c r="H134" i="2"/>
  <c r="I134" i="2"/>
  <c r="J134" i="2"/>
  <c r="K134" i="2"/>
  <c r="D135" i="2"/>
  <c r="H135" i="2"/>
  <c r="I135" i="2"/>
  <c r="J135" i="2"/>
  <c r="K135" i="2"/>
  <c r="D136" i="2"/>
  <c r="H136" i="2"/>
  <c r="I136" i="2"/>
  <c r="J136" i="2"/>
  <c r="K136" i="2"/>
  <c r="D137" i="2"/>
  <c r="H137" i="2"/>
  <c r="I137" i="2"/>
  <c r="J137" i="2"/>
  <c r="K137" i="2"/>
  <c r="D138" i="2"/>
  <c r="H138" i="2"/>
  <c r="I138" i="2"/>
  <c r="J138" i="2"/>
  <c r="K138" i="2"/>
  <c r="D139" i="2"/>
  <c r="H139" i="2"/>
  <c r="I139" i="2"/>
  <c r="J139" i="2"/>
  <c r="K139" i="2"/>
  <c r="D140" i="2"/>
  <c r="H140" i="2"/>
  <c r="I140" i="2"/>
  <c r="N141" i="2"/>
  <c r="J140" i="2"/>
  <c r="O141" i="2"/>
  <c r="P141" i="2"/>
  <c r="Q141" i="2"/>
  <c r="R141" i="2"/>
  <c r="S141" i="2"/>
  <c r="M142" i="2"/>
  <c r="E142" i="2"/>
  <c r="K140" i="2"/>
  <c r="D141" i="2"/>
  <c r="H141" i="2"/>
  <c r="I141" i="2"/>
  <c r="N142" i="2"/>
  <c r="J141" i="2"/>
  <c r="O142" i="2"/>
  <c r="P142" i="2"/>
  <c r="Q142" i="2"/>
  <c r="R142" i="2"/>
  <c r="S142" i="2"/>
  <c r="M143" i="2"/>
  <c r="E143" i="2"/>
  <c r="K141" i="2"/>
  <c r="D142" i="2"/>
  <c r="H142" i="2"/>
  <c r="I142" i="2"/>
  <c r="N143" i="2"/>
  <c r="J142" i="2"/>
  <c r="O143" i="2"/>
  <c r="P143" i="2"/>
  <c r="Q143" i="2"/>
  <c r="R143" i="2"/>
  <c r="S143" i="2"/>
  <c r="M144" i="2"/>
  <c r="E144" i="2"/>
  <c r="K142" i="2"/>
  <c r="D143" i="2"/>
  <c r="H143" i="2"/>
  <c r="I143" i="2"/>
  <c r="N144" i="2"/>
  <c r="J143" i="2"/>
  <c r="O144" i="2"/>
  <c r="P144" i="2"/>
  <c r="Q144" i="2"/>
  <c r="R144" i="2"/>
  <c r="S144" i="2"/>
  <c r="S147" i="2"/>
  <c r="J21" i="4"/>
  <c r="S21" i="4"/>
  <c r="AB96" i="2"/>
  <c r="AB97" i="2"/>
  <c r="AB98" i="2"/>
  <c r="AB99" i="2"/>
  <c r="AB100" i="2"/>
  <c r="AB101" i="2"/>
  <c r="AB102" i="2"/>
  <c r="AB103" i="2"/>
  <c r="AB104" i="2"/>
  <c r="AB105" i="2"/>
  <c r="AB106" i="2"/>
  <c r="AB107" i="2"/>
  <c r="AB108" i="2"/>
  <c r="AB109" i="2"/>
  <c r="AB110" i="2"/>
  <c r="AB111" i="2"/>
  <c r="AB112" i="2"/>
  <c r="X95" i="2"/>
  <c r="Y95" i="2"/>
  <c r="AD95" i="2"/>
  <c r="AE95" i="2"/>
  <c r="AG95" i="2"/>
  <c r="E96" i="2"/>
  <c r="C95" i="2"/>
  <c r="D95" i="2"/>
  <c r="G95" i="2"/>
  <c r="H95" i="2"/>
  <c r="I95" i="2"/>
  <c r="N96" i="2"/>
  <c r="J95" i="2"/>
  <c r="O96" i="2"/>
  <c r="P96" i="2"/>
  <c r="Q96" i="2"/>
  <c r="R96" i="2"/>
  <c r="S96" i="2"/>
  <c r="W96" i="2"/>
  <c r="X96" i="2"/>
  <c r="AD96" i="2"/>
  <c r="Y96" i="2"/>
  <c r="AE96" i="2"/>
  <c r="AG96" i="2"/>
  <c r="E97" i="2"/>
  <c r="K95" i="2"/>
  <c r="D96" i="2"/>
  <c r="H96" i="2"/>
  <c r="I96" i="2"/>
  <c r="N97" i="2"/>
  <c r="J96" i="2"/>
  <c r="O97" i="2"/>
  <c r="P97" i="2"/>
  <c r="Q97" i="2"/>
  <c r="R97" i="2"/>
  <c r="S97" i="2"/>
  <c r="W97" i="2"/>
  <c r="AD97" i="2"/>
  <c r="Y97" i="2"/>
  <c r="AE97" i="2"/>
  <c r="AG97" i="2"/>
  <c r="E98" i="2"/>
  <c r="K96" i="2"/>
  <c r="D97" i="2"/>
  <c r="H97" i="2"/>
  <c r="I97" i="2"/>
  <c r="N98" i="2"/>
  <c r="J97" i="2"/>
  <c r="O98" i="2"/>
  <c r="P98" i="2"/>
  <c r="Q98" i="2"/>
  <c r="R98" i="2"/>
  <c r="S98" i="2"/>
  <c r="W98" i="2"/>
  <c r="AD98" i="2"/>
  <c r="Y98" i="2"/>
  <c r="AE98" i="2"/>
  <c r="AG98" i="2"/>
  <c r="E99" i="2"/>
  <c r="K97" i="2"/>
  <c r="D98" i="2"/>
  <c r="H98" i="2"/>
  <c r="I98" i="2"/>
  <c r="N99" i="2"/>
  <c r="J98" i="2"/>
  <c r="O99" i="2"/>
  <c r="P99" i="2"/>
  <c r="Q99" i="2"/>
  <c r="R99" i="2"/>
  <c r="S99" i="2"/>
  <c r="W99" i="2"/>
  <c r="AD99" i="2"/>
  <c r="Y99" i="2"/>
  <c r="AE99" i="2"/>
  <c r="AG99" i="2"/>
  <c r="E100" i="2"/>
  <c r="K98" i="2"/>
  <c r="D99" i="2"/>
  <c r="H99" i="2"/>
  <c r="I99" i="2"/>
  <c r="N100" i="2"/>
  <c r="J99" i="2"/>
  <c r="O100" i="2"/>
  <c r="P100" i="2"/>
  <c r="Q100" i="2"/>
  <c r="R100" i="2"/>
  <c r="S100" i="2"/>
  <c r="W100" i="2"/>
  <c r="AD100" i="2"/>
  <c r="Y100" i="2"/>
  <c r="AE100" i="2"/>
  <c r="AG100" i="2"/>
  <c r="E101" i="2"/>
  <c r="K99" i="2"/>
  <c r="D100" i="2"/>
  <c r="H100" i="2"/>
  <c r="I100" i="2"/>
  <c r="N101" i="2"/>
  <c r="J100" i="2"/>
  <c r="O101" i="2"/>
  <c r="P101" i="2"/>
  <c r="Q101" i="2"/>
  <c r="R101" i="2"/>
  <c r="S101" i="2"/>
  <c r="W101" i="2"/>
  <c r="AD101" i="2"/>
  <c r="Y101" i="2"/>
  <c r="AE101" i="2"/>
  <c r="AG101" i="2"/>
  <c r="E102" i="2"/>
  <c r="K100" i="2"/>
  <c r="D101" i="2"/>
  <c r="H101" i="2"/>
  <c r="I101" i="2"/>
  <c r="N102" i="2"/>
  <c r="J101" i="2"/>
  <c r="O102" i="2"/>
  <c r="P102" i="2"/>
  <c r="Q102" i="2"/>
  <c r="R102" i="2"/>
  <c r="S102" i="2"/>
  <c r="W102" i="2"/>
  <c r="AD102" i="2"/>
  <c r="Y102" i="2"/>
  <c r="AE102" i="2"/>
  <c r="AG102" i="2"/>
  <c r="E103" i="2"/>
  <c r="K101" i="2"/>
  <c r="D102" i="2"/>
  <c r="H102" i="2"/>
  <c r="I102" i="2"/>
  <c r="N103" i="2"/>
  <c r="J102" i="2"/>
  <c r="O103" i="2"/>
  <c r="P103" i="2"/>
  <c r="Q103" i="2"/>
  <c r="R103" i="2"/>
  <c r="S103" i="2"/>
  <c r="W103" i="2"/>
  <c r="AD103" i="2"/>
  <c r="Y103" i="2"/>
  <c r="AE103" i="2"/>
  <c r="AG103" i="2"/>
  <c r="E104" i="2"/>
  <c r="K102" i="2"/>
  <c r="D103" i="2"/>
  <c r="H103" i="2"/>
  <c r="I103" i="2"/>
  <c r="N104" i="2"/>
  <c r="J103" i="2"/>
  <c r="O104" i="2"/>
  <c r="P104" i="2"/>
  <c r="Q104" i="2"/>
  <c r="R104" i="2"/>
  <c r="S104" i="2"/>
  <c r="W104" i="2"/>
  <c r="AD104" i="2"/>
  <c r="Y104" i="2"/>
  <c r="AE104" i="2"/>
  <c r="AG104" i="2"/>
  <c r="E105" i="2"/>
  <c r="K103" i="2"/>
  <c r="D104" i="2"/>
  <c r="H104" i="2"/>
  <c r="I104" i="2"/>
  <c r="N105" i="2"/>
  <c r="J104" i="2"/>
  <c r="O105" i="2"/>
  <c r="P105" i="2"/>
  <c r="Q105" i="2"/>
  <c r="R105" i="2"/>
  <c r="S105" i="2"/>
  <c r="W105" i="2"/>
  <c r="AD105" i="2"/>
  <c r="Y105" i="2"/>
  <c r="AE105" i="2"/>
  <c r="AG105" i="2"/>
  <c r="E106" i="2"/>
  <c r="K104" i="2"/>
  <c r="D105" i="2"/>
  <c r="H105" i="2"/>
  <c r="I105" i="2"/>
  <c r="N106" i="2"/>
  <c r="J105" i="2"/>
  <c r="O106" i="2"/>
  <c r="P106" i="2"/>
  <c r="Q106" i="2"/>
  <c r="R106" i="2"/>
  <c r="S106" i="2"/>
  <c r="W106" i="2"/>
  <c r="AD106" i="2"/>
  <c r="Y106" i="2"/>
  <c r="AE106" i="2"/>
  <c r="AG106" i="2"/>
  <c r="E107" i="2"/>
  <c r="K105" i="2"/>
  <c r="D106" i="2"/>
  <c r="H106" i="2"/>
  <c r="I106" i="2"/>
  <c r="N107" i="2"/>
  <c r="J106" i="2"/>
  <c r="O107" i="2"/>
  <c r="P107" i="2"/>
  <c r="Q107" i="2"/>
  <c r="R107" i="2"/>
  <c r="S107" i="2"/>
  <c r="W107" i="2"/>
  <c r="AD107" i="2"/>
  <c r="Y107" i="2"/>
  <c r="AE107" i="2"/>
  <c r="AG107" i="2"/>
  <c r="E108" i="2"/>
  <c r="K106" i="2"/>
  <c r="D107" i="2"/>
  <c r="H107" i="2"/>
  <c r="I107" i="2"/>
  <c r="N108" i="2"/>
  <c r="J107" i="2"/>
  <c r="O108" i="2"/>
  <c r="P108" i="2"/>
  <c r="Q108" i="2"/>
  <c r="R108" i="2"/>
  <c r="S108" i="2"/>
  <c r="W108" i="2"/>
  <c r="AD108" i="2"/>
  <c r="Y108" i="2"/>
  <c r="AE108" i="2"/>
  <c r="AG108" i="2"/>
  <c r="E109" i="2"/>
  <c r="K107" i="2"/>
  <c r="D108" i="2"/>
  <c r="H108" i="2"/>
  <c r="I108" i="2"/>
  <c r="N109" i="2"/>
  <c r="J108" i="2"/>
  <c r="O109" i="2"/>
  <c r="P109" i="2"/>
  <c r="Q109" i="2"/>
  <c r="R109" i="2"/>
  <c r="S109" i="2"/>
  <c r="W109" i="2"/>
  <c r="AD109" i="2"/>
  <c r="Y109" i="2"/>
  <c r="AE109" i="2"/>
  <c r="AG109" i="2"/>
  <c r="AD110" i="2"/>
  <c r="Y110" i="2"/>
  <c r="AE110" i="2"/>
  <c r="AG110" i="2"/>
  <c r="AD111" i="2"/>
  <c r="Y111" i="2"/>
  <c r="AE111" i="2"/>
  <c r="AG111" i="2"/>
  <c r="AD112" i="2"/>
  <c r="Y112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AA112" i="2"/>
  <c r="AE112" i="2"/>
  <c r="AH112" i="2"/>
  <c r="AL113" i="2"/>
  <c r="AS113" i="2"/>
  <c r="AT113" i="2"/>
  <c r="AJ114" i="2"/>
  <c r="AB113" i="2"/>
  <c r="AM113" i="2"/>
  <c r="AG112" i="2"/>
  <c r="AK113" i="2"/>
  <c r="AN113" i="2"/>
  <c r="AD113" i="2"/>
  <c r="Y113" i="2"/>
  <c r="Z113" i="2"/>
  <c r="AA113" i="2"/>
  <c r="AE113" i="2"/>
  <c r="AH113" i="2"/>
  <c r="AL114" i="2"/>
  <c r="AS114" i="2"/>
  <c r="AT114" i="2"/>
  <c r="AJ115" i="2"/>
  <c r="AB114" i="2"/>
  <c r="AM114" i="2"/>
  <c r="AG113" i="2"/>
  <c r="AK114" i="2"/>
  <c r="AN114" i="2"/>
  <c r="AD114" i="2"/>
  <c r="Y114" i="2"/>
  <c r="Z114" i="2"/>
  <c r="AA114" i="2"/>
  <c r="AE114" i="2"/>
  <c r="AH114" i="2"/>
  <c r="AL115" i="2"/>
  <c r="AS115" i="2"/>
  <c r="AT115" i="2"/>
  <c r="AJ116" i="2"/>
  <c r="AB115" i="2"/>
  <c r="AM115" i="2"/>
  <c r="AG114" i="2"/>
  <c r="AK115" i="2"/>
  <c r="AN115" i="2"/>
  <c r="AD115" i="2"/>
  <c r="Y115" i="2"/>
  <c r="Z115" i="2"/>
  <c r="AA115" i="2"/>
  <c r="AE115" i="2"/>
  <c r="AH115" i="2"/>
  <c r="AL116" i="2"/>
  <c r="AS116" i="2"/>
  <c r="AT116" i="2"/>
  <c r="AT117" i="2"/>
  <c r="Q19" i="4"/>
  <c r="E110" i="2"/>
  <c r="E111" i="2"/>
  <c r="E112" i="2"/>
  <c r="E113" i="2"/>
  <c r="K108" i="2"/>
  <c r="D109" i="2"/>
  <c r="H109" i="2"/>
  <c r="I109" i="2"/>
  <c r="N110" i="2"/>
  <c r="J109" i="2"/>
  <c r="K109" i="2"/>
  <c r="O110" i="2"/>
  <c r="D110" i="2"/>
  <c r="H110" i="2"/>
  <c r="I110" i="2"/>
  <c r="N111" i="2"/>
  <c r="J110" i="2"/>
  <c r="K110" i="2"/>
  <c r="O111" i="2"/>
  <c r="D111" i="2"/>
  <c r="H111" i="2"/>
  <c r="I111" i="2"/>
  <c r="N112" i="2"/>
  <c r="J111" i="2"/>
  <c r="K111" i="2"/>
  <c r="O112" i="2"/>
  <c r="D112" i="2"/>
  <c r="H112" i="2"/>
  <c r="I112" i="2"/>
  <c r="N113" i="2"/>
  <c r="J112" i="2"/>
  <c r="O113" i="2"/>
  <c r="P113" i="2"/>
  <c r="Q113" i="2"/>
  <c r="R113" i="2"/>
  <c r="S113" i="2"/>
  <c r="M114" i="2"/>
  <c r="E114" i="2"/>
  <c r="K112" i="2"/>
  <c r="D113" i="2"/>
  <c r="H113" i="2"/>
  <c r="I113" i="2"/>
  <c r="N114" i="2"/>
  <c r="J113" i="2"/>
  <c r="O114" i="2"/>
  <c r="P114" i="2"/>
  <c r="Q114" i="2"/>
  <c r="R114" i="2"/>
  <c r="S114" i="2"/>
  <c r="M115" i="2"/>
  <c r="E115" i="2"/>
  <c r="K113" i="2"/>
  <c r="D114" i="2"/>
  <c r="H114" i="2"/>
  <c r="I114" i="2"/>
  <c r="N115" i="2"/>
  <c r="J114" i="2"/>
  <c r="O115" i="2"/>
  <c r="P115" i="2"/>
  <c r="Q115" i="2"/>
  <c r="R115" i="2"/>
  <c r="S115" i="2"/>
  <c r="M116" i="2"/>
  <c r="E116" i="2"/>
  <c r="K114" i="2"/>
  <c r="D115" i="2"/>
  <c r="H115" i="2"/>
  <c r="I115" i="2"/>
  <c r="N116" i="2"/>
  <c r="J115" i="2"/>
  <c r="O116" i="2"/>
  <c r="P116" i="2"/>
  <c r="Q116" i="2"/>
  <c r="R116" i="2"/>
  <c r="S116" i="2"/>
  <c r="S119" i="2"/>
  <c r="J19" i="4"/>
  <c r="S19" i="4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X67" i="2"/>
  <c r="Y67" i="2"/>
  <c r="AD67" i="2"/>
  <c r="AE67" i="2"/>
  <c r="AG67" i="2"/>
  <c r="E68" i="2"/>
  <c r="C67" i="2"/>
  <c r="D67" i="2"/>
  <c r="G67" i="2"/>
  <c r="H67" i="2"/>
  <c r="I67" i="2"/>
  <c r="N68" i="2"/>
  <c r="J67" i="2"/>
  <c r="O68" i="2"/>
  <c r="P68" i="2"/>
  <c r="Q68" i="2"/>
  <c r="R68" i="2"/>
  <c r="S68" i="2"/>
  <c r="W68" i="2"/>
  <c r="X68" i="2"/>
  <c r="AD68" i="2"/>
  <c r="Y68" i="2"/>
  <c r="AE68" i="2"/>
  <c r="AG68" i="2"/>
  <c r="E69" i="2"/>
  <c r="K67" i="2"/>
  <c r="D68" i="2"/>
  <c r="H68" i="2"/>
  <c r="I68" i="2"/>
  <c r="N69" i="2"/>
  <c r="J68" i="2"/>
  <c r="O69" i="2"/>
  <c r="P69" i="2"/>
  <c r="Q69" i="2"/>
  <c r="R69" i="2"/>
  <c r="S69" i="2"/>
  <c r="W69" i="2"/>
  <c r="X69" i="2"/>
  <c r="AD69" i="2"/>
  <c r="Y69" i="2"/>
  <c r="AE69" i="2"/>
  <c r="AG69" i="2"/>
  <c r="E70" i="2"/>
  <c r="K68" i="2"/>
  <c r="D69" i="2"/>
  <c r="H69" i="2"/>
  <c r="I69" i="2"/>
  <c r="N70" i="2"/>
  <c r="J69" i="2"/>
  <c r="O70" i="2"/>
  <c r="P70" i="2"/>
  <c r="Q70" i="2"/>
  <c r="R70" i="2"/>
  <c r="S70" i="2"/>
  <c r="W70" i="2"/>
  <c r="X70" i="2"/>
  <c r="AD70" i="2"/>
  <c r="Y70" i="2"/>
  <c r="AE70" i="2"/>
  <c r="AG70" i="2"/>
  <c r="E71" i="2"/>
  <c r="K69" i="2"/>
  <c r="D70" i="2"/>
  <c r="H70" i="2"/>
  <c r="I70" i="2"/>
  <c r="N71" i="2"/>
  <c r="J70" i="2"/>
  <c r="O71" i="2"/>
  <c r="P71" i="2"/>
  <c r="Q71" i="2"/>
  <c r="R71" i="2"/>
  <c r="S71" i="2"/>
  <c r="W71" i="2"/>
  <c r="X71" i="2"/>
  <c r="AD71" i="2"/>
  <c r="Y71" i="2"/>
  <c r="AE71" i="2"/>
  <c r="AG71" i="2"/>
  <c r="E72" i="2"/>
  <c r="K70" i="2"/>
  <c r="D71" i="2"/>
  <c r="H71" i="2"/>
  <c r="I71" i="2"/>
  <c r="N72" i="2"/>
  <c r="J71" i="2"/>
  <c r="O72" i="2"/>
  <c r="P72" i="2"/>
  <c r="Q72" i="2"/>
  <c r="R72" i="2"/>
  <c r="S72" i="2"/>
  <c r="W72" i="2"/>
  <c r="X72" i="2"/>
  <c r="AD72" i="2"/>
  <c r="Y72" i="2"/>
  <c r="AE72" i="2"/>
  <c r="AG72" i="2"/>
  <c r="E73" i="2"/>
  <c r="K71" i="2"/>
  <c r="D72" i="2"/>
  <c r="H72" i="2"/>
  <c r="I72" i="2"/>
  <c r="N73" i="2"/>
  <c r="J72" i="2"/>
  <c r="O73" i="2"/>
  <c r="P73" i="2"/>
  <c r="Q73" i="2"/>
  <c r="R73" i="2"/>
  <c r="S73" i="2"/>
  <c r="W73" i="2"/>
  <c r="X73" i="2"/>
  <c r="AD73" i="2"/>
  <c r="Y73" i="2"/>
  <c r="AE73" i="2"/>
  <c r="AG73" i="2"/>
  <c r="E74" i="2"/>
  <c r="K72" i="2"/>
  <c r="D73" i="2"/>
  <c r="H73" i="2"/>
  <c r="I73" i="2"/>
  <c r="N74" i="2"/>
  <c r="J73" i="2"/>
  <c r="O74" i="2"/>
  <c r="P74" i="2"/>
  <c r="Q74" i="2"/>
  <c r="R74" i="2"/>
  <c r="S74" i="2"/>
  <c r="W74" i="2"/>
  <c r="X74" i="2"/>
  <c r="AD74" i="2"/>
  <c r="Y74" i="2"/>
  <c r="AE74" i="2"/>
  <c r="AG74" i="2"/>
  <c r="E75" i="2"/>
  <c r="K73" i="2"/>
  <c r="D74" i="2"/>
  <c r="H74" i="2"/>
  <c r="I74" i="2"/>
  <c r="N75" i="2"/>
  <c r="J74" i="2"/>
  <c r="O75" i="2"/>
  <c r="P75" i="2"/>
  <c r="Q75" i="2"/>
  <c r="R75" i="2"/>
  <c r="S75" i="2"/>
  <c r="W75" i="2"/>
  <c r="X75" i="2"/>
  <c r="AD75" i="2"/>
  <c r="Y75" i="2"/>
  <c r="AE75" i="2"/>
  <c r="AG75" i="2"/>
  <c r="E76" i="2"/>
  <c r="K74" i="2"/>
  <c r="D75" i="2"/>
  <c r="H75" i="2"/>
  <c r="I75" i="2"/>
  <c r="N76" i="2"/>
  <c r="J75" i="2"/>
  <c r="O76" i="2"/>
  <c r="P76" i="2"/>
  <c r="Q76" i="2"/>
  <c r="R76" i="2"/>
  <c r="S76" i="2"/>
  <c r="W76" i="2"/>
  <c r="X76" i="2"/>
  <c r="AD76" i="2"/>
  <c r="Y76" i="2"/>
  <c r="AE76" i="2"/>
  <c r="AG76" i="2"/>
  <c r="E77" i="2"/>
  <c r="K75" i="2"/>
  <c r="D76" i="2"/>
  <c r="H76" i="2"/>
  <c r="I76" i="2"/>
  <c r="N77" i="2"/>
  <c r="J76" i="2"/>
  <c r="O77" i="2"/>
  <c r="P77" i="2"/>
  <c r="Q77" i="2"/>
  <c r="R77" i="2"/>
  <c r="S77" i="2"/>
  <c r="W77" i="2"/>
  <c r="X77" i="2"/>
  <c r="AD77" i="2"/>
  <c r="Y77" i="2"/>
  <c r="AE77" i="2"/>
  <c r="AG77" i="2"/>
  <c r="E78" i="2"/>
  <c r="K76" i="2"/>
  <c r="D77" i="2"/>
  <c r="H77" i="2"/>
  <c r="I77" i="2"/>
  <c r="N78" i="2"/>
  <c r="J77" i="2"/>
  <c r="O78" i="2"/>
  <c r="P78" i="2"/>
  <c r="Q78" i="2"/>
  <c r="R78" i="2"/>
  <c r="S78" i="2"/>
  <c r="W78" i="2"/>
  <c r="X78" i="2"/>
  <c r="AD78" i="2"/>
  <c r="Y78" i="2"/>
  <c r="AE78" i="2"/>
  <c r="AG78" i="2"/>
  <c r="E79" i="2"/>
  <c r="K77" i="2"/>
  <c r="D78" i="2"/>
  <c r="H78" i="2"/>
  <c r="I78" i="2"/>
  <c r="N79" i="2"/>
  <c r="J78" i="2"/>
  <c r="O79" i="2"/>
  <c r="P79" i="2"/>
  <c r="Q79" i="2"/>
  <c r="R79" i="2"/>
  <c r="S79" i="2"/>
  <c r="W79" i="2"/>
  <c r="X79" i="2"/>
  <c r="AD79" i="2"/>
  <c r="Y79" i="2"/>
  <c r="AE79" i="2"/>
  <c r="AG79" i="2"/>
  <c r="E80" i="2"/>
  <c r="K78" i="2"/>
  <c r="D79" i="2"/>
  <c r="H79" i="2"/>
  <c r="I79" i="2"/>
  <c r="N80" i="2"/>
  <c r="J79" i="2"/>
  <c r="O80" i="2"/>
  <c r="P80" i="2"/>
  <c r="Q80" i="2"/>
  <c r="R80" i="2"/>
  <c r="S80" i="2"/>
  <c r="W80" i="2"/>
  <c r="X80" i="2"/>
  <c r="AD80" i="2"/>
  <c r="Y80" i="2"/>
  <c r="AE80" i="2"/>
  <c r="AG80" i="2"/>
  <c r="E81" i="2"/>
  <c r="K79" i="2"/>
  <c r="D80" i="2"/>
  <c r="H80" i="2"/>
  <c r="I80" i="2"/>
  <c r="N81" i="2"/>
  <c r="J80" i="2"/>
  <c r="O81" i="2"/>
  <c r="P81" i="2"/>
  <c r="Q81" i="2"/>
  <c r="R81" i="2"/>
  <c r="S81" i="2"/>
  <c r="W81" i="2"/>
  <c r="X81" i="2"/>
  <c r="AD81" i="2"/>
  <c r="Y81" i="2"/>
  <c r="AE81" i="2"/>
  <c r="AG81" i="2"/>
  <c r="X82" i="2"/>
  <c r="AD82" i="2"/>
  <c r="Y82" i="2"/>
  <c r="AE82" i="2"/>
  <c r="AG82" i="2"/>
  <c r="X83" i="2"/>
  <c r="AD83" i="2"/>
  <c r="Y83" i="2"/>
  <c r="AE83" i="2"/>
  <c r="AG83" i="2"/>
  <c r="X84" i="2"/>
  <c r="AD84" i="2"/>
  <c r="Y84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AA84" i="2"/>
  <c r="AE84" i="2"/>
  <c r="AH84" i="2"/>
  <c r="AL85" i="2"/>
  <c r="AS85" i="2"/>
  <c r="AT85" i="2"/>
  <c r="AJ86" i="2"/>
  <c r="AB85" i="2"/>
  <c r="AM85" i="2"/>
  <c r="AG84" i="2"/>
  <c r="AK85" i="2"/>
  <c r="AN85" i="2"/>
  <c r="AD85" i="2"/>
  <c r="Y85" i="2"/>
  <c r="Z85" i="2"/>
  <c r="AA85" i="2"/>
  <c r="AE85" i="2"/>
  <c r="AH85" i="2"/>
  <c r="AL86" i="2"/>
  <c r="AS86" i="2"/>
  <c r="AT86" i="2"/>
  <c r="AJ87" i="2"/>
  <c r="AB86" i="2"/>
  <c r="AM86" i="2"/>
  <c r="AG85" i="2"/>
  <c r="AK86" i="2"/>
  <c r="AN86" i="2"/>
  <c r="AD86" i="2"/>
  <c r="Y86" i="2"/>
  <c r="Z86" i="2"/>
  <c r="AA86" i="2"/>
  <c r="AE86" i="2"/>
  <c r="AH86" i="2"/>
  <c r="AL87" i="2"/>
  <c r="AS87" i="2"/>
  <c r="AT87" i="2"/>
  <c r="AJ88" i="2"/>
  <c r="AB87" i="2"/>
  <c r="AM87" i="2"/>
  <c r="AG86" i="2"/>
  <c r="AK87" i="2"/>
  <c r="AN87" i="2"/>
  <c r="AD87" i="2"/>
  <c r="Y87" i="2"/>
  <c r="Z87" i="2"/>
  <c r="AA87" i="2"/>
  <c r="AE87" i="2"/>
  <c r="AH87" i="2"/>
  <c r="AL88" i="2"/>
  <c r="AS88" i="2"/>
  <c r="AT88" i="2"/>
  <c r="AT89" i="2"/>
  <c r="Q18" i="4"/>
  <c r="E82" i="2"/>
  <c r="E83" i="2"/>
  <c r="E84" i="2"/>
  <c r="E85" i="2"/>
  <c r="K80" i="2"/>
  <c r="D81" i="2"/>
  <c r="H81" i="2"/>
  <c r="I81" i="2"/>
  <c r="N82" i="2"/>
  <c r="J81" i="2"/>
  <c r="K81" i="2"/>
  <c r="O82" i="2"/>
  <c r="D82" i="2"/>
  <c r="H82" i="2"/>
  <c r="I82" i="2"/>
  <c r="N83" i="2"/>
  <c r="J82" i="2"/>
  <c r="K82" i="2"/>
  <c r="O83" i="2"/>
  <c r="D83" i="2"/>
  <c r="H83" i="2"/>
  <c r="I83" i="2"/>
  <c r="N84" i="2"/>
  <c r="J83" i="2"/>
  <c r="K83" i="2"/>
  <c r="O84" i="2"/>
  <c r="D84" i="2"/>
  <c r="H84" i="2"/>
  <c r="I84" i="2"/>
  <c r="N85" i="2"/>
  <c r="J84" i="2"/>
  <c r="O85" i="2"/>
  <c r="P85" i="2"/>
  <c r="Q85" i="2"/>
  <c r="R85" i="2"/>
  <c r="S85" i="2"/>
  <c r="M86" i="2"/>
  <c r="E86" i="2"/>
  <c r="K84" i="2"/>
  <c r="D85" i="2"/>
  <c r="H85" i="2"/>
  <c r="I85" i="2"/>
  <c r="N86" i="2"/>
  <c r="J85" i="2"/>
  <c r="O86" i="2"/>
  <c r="P86" i="2"/>
  <c r="Q86" i="2"/>
  <c r="R86" i="2"/>
  <c r="S86" i="2"/>
  <c r="M87" i="2"/>
  <c r="E87" i="2"/>
  <c r="K85" i="2"/>
  <c r="D86" i="2"/>
  <c r="H86" i="2"/>
  <c r="I86" i="2"/>
  <c r="N87" i="2"/>
  <c r="J86" i="2"/>
  <c r="O87" i="2"/>
  <c r="P87" i="2"/>
  <c r="Q87" i="2"/>
  <c r="R87" i="2"/>
  <c r="S87" i="2"/>
  <c r="M88" i="2"/>
  <c r="E88" i="2"/>
  <c r="K86" i="2"/>
  <c r="D87" i="2"/>
  <c r="H87" i="2"/>
  <c r="I87" i="2"/>
  <c r="N88" i="2"/>
  <c r="J87" i="2"/>
  <c r="O88" i="2"/>
  <c r="P88" i="2"/>
  <c r="Q88" i="2"/>
  <c r="R88" i="2"/>
  <c r="S88" i="2"/>
  <c r="S91" i="2"/>
  <c r="J18" i="4"/>
  <c r="S18" i="4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X39" i="2"/>
  <c r="Y39" i="2"/>
  <c r="AD39" i="2"/>
  <c r="AE39" i="2"/>
  <c r="AG39" i="2"/>
  <c r="AD40" i="2"/>
  <c r="Y40" i="2"/>
  <c r="AE40" i="2"/>
  <c r="AG40" i="2"/>
  <c r="AD41" i="2"/>
  <c r="Y41" i="2"/>
  <c r="AE41" i="2"/>
  <c r="AG41" i="2"/>
  <c r="AD42" i="2"/>
  <c r="Y42" i="2"/>
  <c r="AE42" i="2"/>
  <c r="AG42" i="2"/>
  <c r="AD43" i="2"/>
  <c r="Y43" i="2"/>
  <c r="AE43" i="2"/>
  <c r="AG43" i="2"/>
  <c r="AD44" i="2"/>
  <c r="Y44" i="2"/>
  <c r="AE44" i="2"/>
  <c r="AG44" i="2"/>
  <c r="AD45" i="2"/>
  <c r="Y45" i="2"/>
  <c r="AE45" i="2"/>
  <c r="AG45" i="2"/>
  <c r="AD46" i="2"/>
  <c r="Y46" i="2"/>
  <c r="AE46" i="2"/>
  <c r="AG46" i="2"/>
  <c r="AD47" i="2"/>
  <c r="Y47" i="2"/>
  <c r="AE47" i="2"/>
  <c r="AG47" i="2"/>
  <c r="AD48" i="2"/>
  <c r="Y48" i="2"/>
  <c r="AE48" i="2"/>
  <c r="AG48" i="2"/>
  <c r="AD49" i="2"/>
  <c r="Y49" i="2"/>
  <c r="AE49" i="2"/>
  <c r="AG49" i="2"/>
  <c r="AD50" i="2"/>
  <c r="Y50" i="2"/>
  <c r="AE50" i="2"/>
  <c r="AG50" i="2"/>
  <c r="AD51" i="2"/>
  <c r="Y51" i="2"/>
  <c r="AE51" i="2"/>
  <c r="AG51" i="2"/>
  <c r="AD52" i="2"/>
  <c r="Y52" i="2"/>
  <c r="AE52" i="2"/>
  <c r="AG52" i="2"/>
  <c r="AD53" i="2"/>
  <c r="Y53" i="2"/>
  <c r="AE53" i="2"/>
  <c r="AG53" i="2"/>
  <c r="AD54" i="2"/>
  <c r="Y54" i="2"/>
  <c r="AE54" i="2"/>
  <c r="AG54" i="2"/>
  <c r="AD55" i="2"/>
  <c r="Y55" i="2"/>
  <c r="AE55" i="2"/>
  <c r="AG55" i="2"/>
  <c r="AD56" i="2"/>
  <c r="Y56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AA56" i="2"/>
  <c r="AE56" i="2"/>
  <c r="AH56" i="2"/>
  <c r="AL57" i="2"/>
  <c r="AS57" i="2"/>
  <c r="AT57" i="2"/>
  <c r="AJ58" i="2"/>
  <c r="AB57" i="2"/>
  <c r="AM57" i="2"/>
  <c r="AG56" i="2"/>
  <c r="AK57" i="2"/>
  <c r="AN57" i="2"/>
  <c r="AD57" i="2"/>
  <c r="Y57" i="2"/>
  <c r="Z57" i="2"/>
  <c r="AA57" i="2"/>
  <c r="AE57" i="2"/>
  <c r="AH57" i="2"/>
  <c r="AL58" i="2"/>
  <c r="AS58" i="2"/>
  <c r="AT58" i="2"/>
  <c r="AJ59" i="2"/>
  <c r="AB58" i="2"/>
  <c r="AM58" i="2"/>
  <c r="AG57" i="2"/>
  <c r="AK58" i="2"/>
  <c r="AN58" i="2"/>
  <c r="AD58" i="2"/>
  <c r="Y58" i="2"/>
  <c r="Z58" i="2"/>
  <c r="AA58" i="2"/>
  <c r="AE58" i="2"/>
  <c r="AH58" i="2"/>
  <c r="AL59" i="2"/>
  <c r="AS59" i="2"/>
  <c r="AT59" i="2"/>
  <c r="AJ60" i="2"/>
  <c r="AB59" i="2"/>
  <c r="AM59" i="2"/>
  <c r="AG58" i="2"/>
  <c r="AK59" i="2"/>
  <c r="AN59" i="2"/>
  <c r="AD59" i="2"/>
  <c r="Y59" i="2"/>
  <c r="Z59" i="2"/>
  <c r="AA59" i="2"/>
  <c r="AE59" i="2"/>
  <c r="AH59" i="2"/>
  <c r="AL60" i="2"/>
  <c r="AS60" i="2"/>
  <c r="AT60" i="2"/>
  <c r="AT61" i="2"/>
  <c r="Q17" i="4"/>
  <c r="S63" i="2"/>
  <c r="J17" i="4"/>
  <c r="S17" i="4"/>
  <c r="AT33" i="2"/>
  <c r="Q16" i="4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D11" i="2"/>
  <c r="G11" i="2"/>
  <c r="H11" i="2"/>
  <c r="I11" i="2"/>
  <c r="J11" i="2"/>
  <c r="K11" i="2"/>
  <c r="D12" i="2"/>
  <c r="H12" i="2"/>
  <c r="I12" i="2"/>
  <c r="J12" i="2"/>
  <c r="K12" i="2"/>
  <c r="D13" i="2"/>
  <c r="H13" i="2"/>
  <c r="I13" i="2"/>
  <c r="J13" i="2"/>
  <c r="K13" i="2"/>
  <c r="D14" i="2"/>
  <c r="H14" i="2"/>
  <c r="I14" i="2"/>
  <c r="J14" i="2"/>
  <c r="K14" i="2"/>
  <c r="D15" i="2"/>
  <c r="H15" i="2"/>
  <c r="I15" i="2"/>
  <c r="J15" i="2"/>
  <c r="K15" i="2"/>
  <c r="D16" i="2"/>
  <c r="H16" i="2"/>
  <c r="I16" i="2"/>
  <c r="J16" i="2"/>
  <c r="K16" i="2"/>
  <c r="D17" i="2"/>
  <c r="H17" i="2"/>
  <c r="I17" i="2"/>
  <c r="J17" i="2"/>
  <c r="K17" i="2"/>
  <c r="D18" i="2"/>
  <c r="H18" i="2"/>
  <c r="I18" i="2"/>
  <c r="J18" i="2"/>
  <c r="K18" i="2"/>
  <c r="D19" i="2"/>
  <c r="H19" i="2"/>
  <c r="I19" i="2"/>
  <c r="J19" i="2"/>
  <c r="K19" i="2"/>
  <c r="D20" i="2"/>
  <c r="H20" i="2"/>
  <c r="I20" i="2"/>
  <c r="J20" i="2"/>
  <c r="K20" i="2"/>
  <c r="D21" i="2"/>
  <c r="H21" i="2"/>
  <c r="I21" i="2"/>
  <c r="J21" i="2"/>
  <c r="K21" i="2"/>
  <c r="D22" i="2"/>
  <c r="H22" i="2"/>
  <c r="I22" i="2"/>
  <c r="J22" i="2"/>
  <c r="K22" i="2"/>
  <c r="D23" i="2"/>
  <c r="H23" i="2"/>
  <c r="I23" i="2"/>
  <c r="J23" i="2"/>
  <c r="K23" i="2"/>
  <c r="D24" i="2"/>
  <c r="H24" i="2"/>
  <c r="I24" i="2"/>
  <c r="J24" i="2"/>
  <c r="K24" i="2"/>
  <c r="D25" i="2"/>
  <c r="H25" i="2"/>
  <c r="I25" i="2"/>
  <c r="J25" i="2"/>
  <c r="K25" i="2"/>
  <c r="D26" i="2"/>
  <c r="H26" i="2"/>
  <c r="I26" i="2"/>
  <c r="J26" i="2"/>
  <c r="K26" i="2"/>
  <c r="D27" i="2"/>
  <c r="H27" i="2"/>
  <c r="I27" i="2"/>
  <c r="J27" i="2"/>
  <c r="K27" i="2"/>
  <c r="D28" i="2"/>
  <c r="H28" i="2"/>
  <c r="I28" i="2"/>
  <c r="N29" i="2"/>
  <c r="J28" i="2"/>
  <c r="O29" i="2"/>
  <c r="P29" i="2"/>
  <c r="Q29" i="2"/>
  <c r="R29" i="2"/>
  <c r="S29" i="2"/>
  <c r="M30" i="2"/>
  <c r="E30" i="2"/>
  <c r="K28" i="2"/>
  <c r="D29" i="2"/>
  <c r="H29" i="2"/>
  <c r="I29" i="2"/>
  <c r="N30" i="2"/>
  <c r="J29" i="2"/>
  <c r="O30" i="2"/>
  <c r="P30" i="2"/>
  <c r="Q30" i="2"/>
  <c r="R30" i="2"/>
  <c r="S30" i="2"/>
  <c r="M31" i="2"/>
  <c r="E31" i="2"/>
  <c r="K29" i="2"/>
  <c r="D30" i="2"/>
  <c r="H30" i="2"/>
  <c r="I30" i="2"/>
  <c r="N31" i="2"/>
  <c r="J30" i="2"/>
  <c r="O31" i="2"/>
  <c r="P31" i="2"/>
  <c r="Q31" i="2"/>
  <c r="R31" i="2"/>
  <c r="S31" i="2"/>
  <c r="M32" i="2"/>
  <c r="E32" i="2"/>
  <c r="K30" i="2"/>
  <c r="D31" i="2"/>
  <c r="H31" i="2"/>
  <c r="I31" i="2"/>
  <c r="N32" i="2"/>
  <c r="J31" i="2"/>
  <c r="O32" i="2"/>
  <c r="P32" i="2"/>
  <c r="Q32" i="2"/>
  <c r="R32" i="2"/>
  <c r="S32" i="2"/>
  <c r="S35" i="2"/>
  <c r="J16" i="4"/>
  <c r="S16" i="4"/>
  <c r="E3" i="3"/>
  <c r="AB152" i="3"/>
  <c r="AB153" i="3"/>
  <c r="AB154" i="3"/>
  <c r="AB155" i="3"/>
  <c r="AB156" i="3"/>
  <c r="AB157" i="3"/>
  <c r="AB158" i="3"/>
  <c r="AB159" i="3"/>
  <c r="AB160" i="3"/>
  <c r="AB161" i="3"/>
  <c r="AB162" i="3"/>
  <c r="AB163" i="3"/>
  <c r="AB164" i="3"/>
  <c r="AB165" i="3"/>
  <c r="AB166" i="3"/>
  <c r="AB167" i="3"/>
  <c r="AB168" i="3"/>
  <c r="X151" i="3"/>
  <c r="Y151" i="3"/>
  <c r="AD151" i="3"/>
  <c r="AE151" i="3"/>
  <c r="AG151" i="3"/>
  <c r="X152" i="3"/>
  <c r="AD152" i="3"/>
  <c r="Y152" i="3"/>
  <c r="AE152" i="3"/>
  <c r="AG152" i="3"/>
  <c r="X153" i="3"/>
  <c r="AD153" i="3"/>
  <c r="Y153" i="3"/>
  <c r="AE153" i="3"/>
  <c r="AG153" i="3"/>
  <c r="X154" i="3"/>
  <c r="AD154" i="3"/>
  <c r="Y154" i="3"/>
  <c r="AE154" i="3"/>
  <c r="AG154" i="3"/>
  <c r="X155" i="3"/>
  <c r="AD155" i="3"/>
  <c r="Y155" i="3"/>
  <c r="AE155" i="3"/>
  <c r="AG155" i="3"/>
  <c r="X156" i="3"/>
  <c r="AD156" i="3"/>
  <c r="Y156" i="3"/>
  <c r="AE156" i="3"/>
  <c r="AG156" i="3"/>
  <c r="X157" i="3"/>
  <c r="AD157" i="3"/>
  <c r="Y157" i="3"/>
  <c r="AE157" i="3"/>
  <c r="AG157" i="3"/>
  <c r="X158" i="3"/>
  <c r="AD158" i="3"/>
  <c r="Y158" i="3"/>
  <c r="AE158" i="3"/>
  <c r="AG158" i="3"/>
  <c r="X159" i="3"/>
  <c r="AD159" i="3"/>
  <c r="Y159" i="3"/>
  <c r="AE159" i="3"/>
  <c r="AG159" i="3"/>
  <c r="X160" i="3"/>
  <c r="AD160" i="3"/>
  <c r="Y160" i="3"/>
  <c r="AE160" i="3"/>
  <c r="AG160" i="3"/>
  <c r="X161" i="3"/>
  <c r="AD161" i="3"/>
  <c r="Y161" i="3"/>
  <c r="AE161" i="3"/>
  <c r="AG161" i="3"/>
  <c r="X162" i="3"/>
  <c r="AD162" i="3"/>
  <c r="Y162" i="3"/>
  <c r="AE162" i="3"/>
  <c r="AG162" i="3"/>
  <c r="X163" i="3"/>
  <c r="AD163" i="3"/>
  <c r="Y163" i="3"/>
  <c r="AE163" i="3"/>
  <c r="AG163" i="3"/>
  <c r="X164" i="3"/>
  <c r="AD164" i="3"/>
  <c r="Y164" i="3"/>
  <c r="AE164" i="3"/>
  <c r="AG164" i="3"/>
  <c r="AD165" i="3"/>
  <c r="Y165" i="3"/>
  <c r="AE165" i="3"/>
  <c r="AG165" i="3"/>
  <c r="AD166" i="3"/>
  <c r="Y166" i="3"/>
  <c r="AE166" i="3"/>
  <c r="AG166" i="3"/>
  <c r="AD167" i="3"/>
  <c r="Y167" i="3"/>
  <c r="AE167" i="3"/>
  <c r="AG167" i="3"/>
  <c r="AD168" i="3"/>
  <c r="Y168" i="3"/>
  <c r="Z151" i="3"/>
  <c r="Z152" i="3"/>
  <c r="Z153" i="3"/>
  <c r="Z154" i="3"/>
  <c r="Z155" i="3"/>
  <c r="Z156" i="3"/>
  <c r="Z157" i="3"/>
  <c r="Z158" i="3"/>
  <c r="Z159" i="3"/>
  <c r="Z160" i="3"/>
  <c r="Z161" i="3"/>
  <c r="Z162" i="3"/>
  <c r="Z163" i="3"/>
  <c r="Z164" i="3"/>
  <c r="Z165" i="3"/>
  <c r="Z166" i="3"/>
  <c r="Z167" i="3"/>
  <c r="Z168" i="3"/>
  <c r="AA168" i="3"/>
  <c r="AE168" i="3"/>
  <c r="AH168" i="3"/>
  <c r="AL169" i="3"/>
  <c r="AF6" i="3"/>
  <c r="AS169" i="3"/>
  <c r="AT169" i="3"/>
  <c r="AJ170" i="3"/>
  <c r="AB169" i="3"/>
  <c r="AM169" i="3"/>
  <c r="AG168" i="3"/>
  <c r="AK169" i="3"/>
  <c r="AN169" i="3"/>
  <c r="AD169" i="3"/>
  <c r="Y169" i="3"/>
  <c r="Z169" i="3"/>
  <c r="AA169" i="3"/>
  <c r="AE169" i="3"/>
  <c r="AH169" i="3"/>
  <c r="AL170" i="3"/>
  <c r="AS170" i="3"/>
  <c r="AT170" i="3"/>
  <c r="AJ171" i="3"/>
  <c r="AB170" i="3"/>
  <c r="AM170" i="3"/>
  <c r="AG169" i="3"/>
  <c r="AK170" i="3"/>
  <c r="AN170" i="3"/>
  <c r="AD170" i="3"/>
  <c r="Y170" i="3"/>
  <c r="Z170" i="3"/>
  <c r="AA170" i="3"/>
  <c r="AE170" i="3"/>
  <c r="AH170" i="3"/>
  <c r="AL171" i="3"/>
  <c r="AS171" i="3"/>
  <c r="AT171" i="3"/>
  <c r="AJ172" i="3"/>
  <c r="AB171" i="3"/>
  <c r="AM171" i="3"/>
  <c r="AG170" i="3"/>
  <c r="AK171" i="3"/>
  <c r="AN171" i="3"/>
  <c r="AD171" i="3"/>
  <c r="Y171" i="3"/>
  <c r="Z171" i="3"/>
  <c r="AA171" i="3"/>
  <c r="AE171" i="3"/>
  <c r="AH171" i="3"/>
  <c r="AL172" i="3"/>
  <c r="AS172" i="3"/>
  <c r="AT172" i="3"/>
  <c r="AT173" i="3"/>
  <c r="Q10" i="4"/>
  <c r="S175" i="3"/>
  <c r="J10" i="4"/>
  <c r="S10" i="4"/>
  <c r="AT145" i="3"/>
  <c r="Q9" i="4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D123" i="3"/>
  <c r="G123" i="3"/>
  <c r="H123" i="3"/>
  <c r="I123" i="3"/>
  <c r="J123" i="3"/>
  <c r="K123" i="3"/>
  <c r="D124" i="3"/>
  <c r="H124" i="3"/>
  <c r="I124" i="3"/>
  <c r="J124" i="3"/>
  <c r="K124" i="3"/>
  <c r="D125" i="3"/>
  <c r="H125" i="3"/>
  <c r="I125" i="3"/>
  <c r="J125" i="3"/>
  <c r="K125" i="3"/>
  <c r="H126" i="3"/>
  <c r="I126" i="3"/>
  <c r="J126" i="3"/>
  <c r="K126" i="3"/>
  <c r="D127" i="3"/>
  <c r="H127" i="3"/>
  <c r="I127" i="3"/>
  <c r="J127" i="3"/>
  <c r="K127" i="3"/>
  <c r="D128" i="3"/>
  <c r="H128" i="3"/>
  <c r="I128" i="3"/>
  <c r="J128" i="3"/>
  <c r="K128" i="3"/>
  <c r="D129" i="3"/>
  <c r="H129" i="3"/>
  <c r="I129" i="3"/>
  <c r="J129" i="3"/>
  <c r="K129" i="3"/>
  <c r="D130" i="3"/>
  <c r="H130" i="3"/>
  <c r="I130" i="3"/>
  <c r="J130" i="3"/>
  <c r="K130" i="3"/>
  <c r="D131" i="3"/>
  <c r="H131" i="3"/>
  <c r="I131" i="3"/>
  <c r="J131" i="3"/>
  <c r="K131" i="3"/>
  <c r="D132" i="3"/>
  <c r="H132" i="3"/>
  <c r="I132" i="3"/>
  <c r="J132" i="3"/>
  <c r="K132" i="3"/>
  <c r="D133" i="3"/>
  <c r="H133" i="3"/>
  <c r="I133" i="3"/>
  <c r="J133" i="3"/>
  <c r="K133" i="3"/>
  <c r="D134" i="3"/>
  <c r="H134" i="3"/>
  <c r="I134" i="3"/>
  <c r="J134" i="3"/>
  <c r="K134" i="3"/>
  <c r="D135" i="3"/>
  <c r="H135" i="3"/>
  <c r="I135" i="3"/>
  <c r="J135" i="3"/>
  <c r="K135" i="3"/>
  <c r="D136" i="3"/>
  <c r="H136" i="3"/>
  <c r="I136" i="3"/>
  <c r="J136" i="3"/>
  <c r="K136" i="3"/>
  <c r="D137" i="3"/>
  <c r="H137" i="3"/>
  <c r="I137" i="3"/>
  <c r="J137" i="3"/>
  <c r="K137" i="3"/>
  <c r="D138" i="3"/>
  <c r="H138" i="3"/>
  <c r="I138" i="3"/>
  <c r="J138" i="3"/>
  <c r="K138" i="3"/>
  <c r="D139" i="3"/>
  <c r="H139" i="3"/>
  <c r="I139" i="3"/>
  <c r="J139" i="3"/>
  <c r="K139" i="3"/>
  <c r="D140" i="3"/>
  <c r="H140" i="3"/>
  <c r="I140" i="3"/>
  <c r="N141" i="3"/>
  <c r="J140" i="3"/>
  <c r="O141" i="3"/>
  <c r="P141" i="3"/>
  <c r="Q141" i="3"/>
  <c r="R141" i="3"/>
  <c r="S141" i="3"/>
  <c r="M142" i="3"/>
  <c r="E142" i="3"/>
  <c r="K140" i="3"/>
  <c r="D141" i="3"/>
  <c r="H141" i="3"/>
  <c r="I141" i="3"/>
  <c r="N142" i="3"/>
  <c r="J141" i="3"/>
  <c r="O142" i="3"/>
  <c r="P142" i="3"/>
  <c r="Q142" i="3"/>
  <c r="R142" i="3"/>
  <c r="S142" i="3"/>
  <c r="M143" i="3"/>
  <c r="E143" i="3"/>
  <c r="K141" i="3"/>
  <c r="D142" i="3"/>
  <c r="H142" i="3"/>
  <c r="I142" i="3"/>
  <c r="N143" i="3"/>
  <c r="J142" i="3"/>
  <c r="O143" i="3"/>
  <c r="P143" i="3"/>
  <c r="Q143" i="3"/>
  <c r="R143" i="3"/>
  <c r="S143" i="3"/>
  <c r="M144" i="3"/>
  <c r="E144" i="3"/>
  <c r="K142" i="3"/>
  <c r="D143" i="3"/>
  <c r="H143" i="3"/>
  <c r="I143" i="3"/>
  <c r="N144" i="3"/>
  <c r="J143" i="3"/>
  <c r="O144" i="3"/>
  <c r="P144" i="3"/>
  <c r="Q144" i="3"/>
  <c r="R144" i="3"/>
  <c r="S144" i="3"/>
  <c r="S147" i="3"/>
  <c r="J9" i="4"/>
  <c r="S9" i="4"/>
  <c r="AB96" i="3"/>
  <c r="AB97" i="3"/>
  <c r="AB98" i="3"/>
  <c r="AB99" i="3"/>
  <c r="AB100" i="3"/>
  <c r="AB101" i="3"/>
  <c r="AB102" i="3"/>
  <c r="AB103" i="3"/>
  <c r="AB104" i="3"/>
  <c r="AB105" i="3"/>
  <c r="AB106" i="3"/>
  <c r="AB107" i="3"/>
  <c r="AB108" i="3"/>
  <c r="AB109" i="3"/>
  <c r="AB110" i="3"/>
  <c r="AB111" i="3"/>
  <c r="AB112" i="3"/>
  <c r="X95" i="3"/>
  <c r="Y95" i="3"/>
  <c r="AD95" i="3"/>
  <c r="AE95" i="3"/>
  <c r="AG95" i="3"/>
  <c r="E96" i="3"/>
  <c r="C95" i="3"/>
  <c r="D95" i="3"/>
  <c r="G95" i="3"/>
  <c r="H95" i="3"/>
  <c r="I95" i="3"/>
  <c r="N96" i="3"/>
  <c r="J95" i="3"/>
  <c r="O96" i="3"/>
  <c r="P96" i="3"/>
  <c r="Y96" i="3"/>
  <c r="AE96" i="3"/>
  <c r="AG96" i="3"/>
  <c r="E97" i="3"/>
  <c r="K95" i="3"/>
  <c r="D96" i="3"/>
  <c r="H96" i="3"/>
  <c r="I96" i="3"/>
  <c r="N97" i="3"/>
  <c r="J96" i="3"/>
  <c r="O97" i="3"/>
  <c r="P97" i="3"/>
  <c r="Q97" i="3"/>
  <c r="R97" i="3"/>
  <c r="S97" i="3"/>
  <c r="W97" i="3"/>
  <c r="AD97" i="3"/>
  <c r="Y97" i="3"/>
  <c r="AE97" i="3"/>
  <c r="AG97" i="3"/>
  <c r="E98" i="3"/>
  <c r="K96" i="3"/>
  <c r="D97" i="3"/>
  <c r="H97" i="3"/>
  <c r="I97" i="3"/>
  <c r="N98" i="3"/>
  <c r="J97" i="3"/>
  <c r="O98" i="3"/>
  <c r="P98" i="3"/>
  <c r="Q98" i="3"/>
  <c r="R98" i="3"/>
  <c r="S98" i="3"/>
  <c r="W98" i="3"/>
  <c r="AD98" i="3"/>
  <c r="Y98" i="3"/>
  <c r="AE98" i="3"/>
  <c r="AG98" i="3"/>
  <c r="E99" i="3"/>
  <c r="K97" i="3"/>
  <c r="D98" i="3"/>
  <c r="H98" i="3"/>
  <c r="I98" i="3"/>
  <c r="N99" i="3"/>
  <c r="J98" i="3"/>
  <c r="O99" i="3"/>
  <c r="P99" i="3"/>
  <c r="Q99" i="3"/>
  <c r="R99" i="3"/>
  <c r="S99" i="3"/>
  <c r="W99" i="3"/>
  <c r="AD99" i="3"/>
  <c r="Y99" i="3"/>
  <c r="AE99" i="3"/>
  <c r="AG99" i="3"/>
  <c r="E100" i="3"/>
  <c r="K98" i="3"/>
  <c r="D99" i="3"/>
  <c r="H99" i="3"/>
  <c r="I99" i="3"/>
  <c r="N100" i="3"/>
  <c r="J99" i="3"/>
  <c r="O100" i="3"/>
  <c r="P100" i="3"/>
  <c r="Q100" i="3"/>
  <c r="R100" i="3"/>
  <c r="S100" i="3"/>
  <c r="W100" i="3"/>
  <c r="AD100" i="3"/>
  <c r="Y100" i="3"/>
  <c r="AE100" i="3"/>
  <c r="AG100" i="3"/>
  <c r="E101" i="3"/>
  <c r="K99" i="3"/>
  <c r="D100" i="3"/>
  <c r="H100" i="3"/>
  <c r="I100" i="3"/>
  <c r="N101" i="3"/>
  <c r="J100" i="3"/>
  <c r="O101" i="3"/>
  <c r="P101" i="3"/>
  <c r="Q101" i="3"/>
  <c r="R101" i="3"/>
  <c r="S101" i="3"/>
  <c r="W101" i="3"/>
  <c r="AD101" i="3"/>
  <c r="Y101" i="3"/>
  <c r="AE101" i="3"/>
  <c r="AG101" i="3"/>
  <c r="E102" i="3"/>
  <c r="K100" i="3"/>
  <c r="D101" i="3"/>
  <c r="H101" i="3"/>
  <c r="I101" i="3"/>
  <c r="N102" i="3"/>
  <c r="J101" i="3"/>
  <c r="O102" i="3"/>
  <c r="P102" i="3"/>
  <c r="Q102" i="3"/>
  <c r="R102" i="3"/>
  <c r="S102" i="3"/>
  <c r="W102" i="3"/>
  <c r="AD102" i="3"/>
  <c r="Y102" i="3"/>
  <c r="AE102" i="3"/>
  <c r="AG102" i="3"/>
  <c r="E103" i="3"/>
  <c r="K101" i="3"/>
  <c r="D102" i="3"/>
  <c r="H102" i="3"/>
  <c r="I102" i="3"/>
  <c r="N103" i="3"/>
  <c r="J102" i="3"/>
  <c r="O103" i="3"/>
  <c r="P103" i="3"/>
  <c r="Q103" i="3"/>
  <c r="R103" i="3"/>
  <c r="S103" i="3"/>
  <c r="W103" i="3"/>
  <c r="AD103" i="3"/>
  <c r="Y103" i="3"/>
  <c r="AE103" i="3"/>
  <c r="AG103" i="3"/>
  <c r="E104" i="3"/>
  <c r="K102" i="3"/>
  <c r="D103" i="3"/>
  <c r="H103" i="3"/>
  <c r="I103" i="3"/>
  <c r="N104" i="3"/>
  <c r="J103" i="3"/>
  <c r="O104" i="3"/>
  <c r="P104" i="3"/>
  <c r="Q104" i="3"/>
  <c r="R104" i="3"/>
  <c r="S104" i="3"/>
  <c r="W104" i="3"/>
  <c r="AD104" i="3"/>
  <c r="Y104" i="3"/>
  <c r="AE104" i="3"/>
  <c r="AG104" i="3"/>
  <c r="E105" i="3"/>
  <c r="K103" i="3"/>
  <c r="D104" i="3"/>
  <c r="H104" i="3"/>
  <c r="I104" i="3"/>
  <c r="N105" i="3"/>
  <c r="J104" i="3"/>
  <c r="O105" i="3"/>
  <c r="P105" i="3"/>
  <c r="Q105" i="3"/>
  <c r="R105" i="3"/>
  <c r="S105" i="3"/>
  <c r="W105" i="3"/>
  <c r="AD105" i="3"/>
  <c r="Y105" i="3"/>
  <c r="AE105" i="3"/>
  <c r="AG105" i="3"/>
  <c r="E106" i="3"/>
  <c r="K104" i="3"/>
  <c r="D105" i="3"/>
  <c r="H105" i="3"/>
  <c r="I105" i="3"/>
  <c r="N106" i="3"/>
  <c r="J105" i="3"/>
  <c r="O106" i="3"/>
  <c r="P106" i="3"/>
  <c r="Q106" i="3"/>
  <c r="R106" i="3"/>
  <c r="S106" i="3"/>
  <c r="W106" i="3"/>
  <c r="AD106" i="3"/>
  <c r="Y106" i="3"/>
  <c r="AE106" i="3"/>
  <c r="AG106" i="3"/>
  <c r="E107" i="3"/>
  <c r="K105" i="3"/>
  <c r="D106" i="3"/>
  <c r="H106" i="3"/>
  <c r="I106" i="3"/>
  <c r="N107" i="3"/>
  <c r="J106" i="3"/>
  <c r="O107" i="3"/>
  <c r="P107" i="3"/>
  <c r="Q107" i="3"/>
  <c r="R107" i="3"/>
  <c r="S107" i="3"/>
  <c r="W107" i="3"/>
  <c r="AD107" i="3"/>
  <c r="Y107" i="3"/>
  <c r="AE107" i="3"/>
  <c r="AG107" i="3"/>
  <c r="E108" i="3"/>
  <c r="K106" i="3"/>
  <c r="D107" i="3"/>
  <c r="H107" i="3"/>
  <c r="I107" i="3"/>
  <c r="N108" i="3"/>
  <c r="J107" i="3"/>
  <c r="O108" i="3"/>
  <c r="P108" i="3"/>
  <c r="Q108" i="3"/>
  <c r="R108" i="3"/>
  <c r="S108" i="3"/>
  <c r="W108" i="3"/>
  <c r="AD108" i="3"/>
  <c r="Y108" i="3"/>
  <c r="AE108" i="3"/>
  <c r="AG108" i="3"/>
  <c r="E109" i="3"/>
  <c r="K107" i="3"/>
  <c r="D108" i="3"/>
  <c r="H108" i="3"/>
  <c r="I108" i="3"/>
  <c r="N109" i="3"/>
  <c r="J108" i="3"/>
  <c r="O109" i="3"/>
  <c r="P109" i="3"/>
  <c r="Q109" i="3"/>
  <c r="R109" i="3"/>
  <c r="S109" i="3"/>
  <c r="W109" i="3"/>
  <c r="AD109" i="3"/>
  <c r="Y109" i="3"/>
  <c r="AE109" i="3"/>
  <c r="AG109" i="3"/>
  <c r="AD110" i="3"/>
  <c r="Y110" i="3"/>
  <c r="AE110" i="3"/>
  <c r="AG110" i="3"/>
  <c r="AD111" i="3"/>
  <c r="Y111" i="3"/>
  <c r="AE111" i="3"/>
  <c r="AG111" i="3"/>
  <c r="AD112" i="3"/>
  <c r="Y112" i="3"/>
  <c r="Z95" i="3"/>
  <c r="Z96" i="3"/>
  <c r="Z97" i="3"/>
  <c r="Z98" i="3"/>
  <c r="Z99" i="3"/>
  <c r="Z100" i="3"/>
  <c r="Z101" i="3"/>
  <c r="Z102" i="3"/>
  <c r="Z103" i="3"/>
  <c r="Z104" i="3"/>
  <c r="Z105" i="3"/>
  <c r="Z106" i="3"/>
  <c r="Z107" i="3"/>
  <c r="Z108" i="3"/>
  <c r="Z109" i="3"/>
  <c r="Z110" i="3"/>
  <c r="Z111" i="3"/>
  <c r="Z112" i="3"/>
  <c r="AA112" i="3"/>
  <c r="AE112" i="3"/>
  <c r="AH112" i="3"/>
  <c r="AL113" i="3"/>
  <c r="AS113" i="3"/>
  <c r="AT113" i="3"/>
  <c r="AJ114" i="3"/>
  <c r="AB113" i="3"/>
  <c r="AM113" i="3"/>
  <c r="AG112" i="3"/>
  <c r="AK113" i="3"/>
  <c r="AN113" i="3"/>
  <c r="AD113" i="3"/>
  <c r="Y113" i="3"/>
  <c r="Z113" i="3"/>
  <c r="AA113" i="3"/>
  <c r="AE113" i="3"/>
  <c r="AH113" i="3"/>
  <c r="AL114" i="3"/>
  <c r="AS114" i="3"/>
  <c r="AT114" i="3"/>
  <c r="AJ115" i="3"/>
  <c r="AB114" i="3"/>
  <c r="AM114" i="3"/>
  <c r="AG113" i="3"/>
  <c r="AK114" i="3"/>
  <c r="AN114" i="3"/>
  <c r="AD114" i="3"/>
  <c r="Y114" i="3"/>
  <c r="Z114" i="3"/>
  <c r="AA114" i="3"/>
  <c r="AE114" i="3"/>
  <c r="AH114" i="3"/>
  <c r="AL115" i="3"/>
  <c r="AS115" i="3"/>
  <c r="AT115" i="3"/>
  <c r="AJ116" i="3"/>
  <c r="AB115" i="3"/>
  <c r="AM115" i="3"/>
  <c r="AG114" i="3"/>
  <c r="AK115" i="3"/>
  <c r="AN115" i="3"/>
  <c r="AD115" i="3"/>
  <c r="Y115" i="3"/>
  <c r="Z115" i="3"/>
  <c r="AA115" i="3"/>
  <c r="AE115" i="3"/>
  <c r="AH115" i="3"/>
  <c r="AL116" i="3"/>
  <c r="AS116" i="3"/>
  <c r="AT116" i="3"/>
  <c r="AT117" i="3"/>
  <c r="Q7" i="4"/>
  <c r="E110" i="3"/>
  <c r="E111" i="3"/>
  <c r="E112" i="3"/>
  <c r="E113" i="3"/>
  <c r="K108" i="3"/>
  <c r="D109" i="3"/>
  <c r="H109" i="3"/>
  <c r="I109" i="3"/>
  <c r="N110" i="3"/>
  <c r="J109" i="3"/>
  <c r="K109" i="3"/>
  <c r="O110" i="3"/>
  <c r="D110" i="3"/>
  <c r="H110" i="3"/>
  <c r="I110" i="3"/>
  <c r="N111" i="3"/>
  <c r="J110" i="3"/>
  <c r="K110" i="3"/>
  <c r="O111" i="3"/>
  <c r="D111" i="3"/>
  <c r="H111" i="3"/>
  <c r="I111" i="3"/>
  <c r="N112" i="3"/>
  <c r="J111" i="3"/>
  <c r="K111" i="3"/>
  <c r="O112" i="3"/>
  <c r="D112" i="3"/>
  <c r="H112" i="3"/>
  <c r="I112" i="3"/>
  <c r="N113" i="3"/>
  <c r="J112" i="3"/>
  <c r="O113" i="3"/>
  <c r="P113" i="3"/>
  <c r="Q113" i="3"/>
  <c r="R113" i="3"/>
  <c r="S113" i="3"/>
  <c r="M114" i="3"/>
  <c r="E114" i="3"/>
  <c r="K112" i="3"/>
  <c r="D113" i="3"/>
  <c r="H113" i="3"/>
  <c r="I113" i="3"/>
  <c r="N114" i="3"/>
  <c r="J113" i="3"/>
  <c r="O114" i="3"/>
  <c r="P114" i="3"/>
  <c r="Q114" i="3"/>
  <c r="R114" i="3"/>
  <c r="S114" i="3"/>
  <c r="M115" i="3"/>
  <c r="E115" i="3"/>
  <c r="K113" i="3"/>
  <c r="D114" i="3"/>
  <c r="H114" i="3"/>
  <c r="I114" i="3"/>
  <c r="N115" i="3"/>
  <c r="J114" i="3"/>
  <c r="O115" i="3"/>
  <c r="P115" i="3"/>
  <c r="Q115" i="3"/>
  <c r="R115" i="3"/>
  <c r="S115" i="3"/>
  <c r="M116" i="3"/>
  <c r="E116" i="3"/>
  <c r="K114" i="3"/>
  <c r="D115" i="3"/>
  <c r="H115" i="3"/>
  <c r="I115" i="3"/>
  <c r="N116" i="3"/>
  <c r="J115" i="3"/>
  <c r="O116" i="3"/>
  <c r="P116" i="3"/>
  <c r="Q116" i="3"/>
  <c r="R116" i="3"/>
  <c r="S116" i="3"/>
  <c r="S119" i="3"/>
  <c r="J7" i="4"/>
  <c r="S7" i="4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X67" i="3"/>
  <c r="Y67" i="3"/>
  <c r="AD67" i="3"/>
  <c r="AE67" i="3"/>
  <c r="AG67" i="3"/>
  <c r="E68" i="3"/>
  <c r="C67" i="3"/>
  <c r="D67" i="3"/>
  <c r="G67" i="3"/>
  <c r="H67" i="3"/>
  <c r="I67" i="3"/>
  <c r="N68" i="3"/>
  <c r="J67" i="3"/>
  <c r="O68" i="3"/>
  <c r="P68" i="3"/>
  <c r="Q68" i="3"/>
  <c r="R68" i="3"/>
  <c r="S68" i="3"/>
  <c r="W68" i="3"/>
  <c r="X68" i="3"/>
  <c r="AD68" i="3"/>
  <c r="Y68" i="3"/>
  <c r="AE68" i="3"/>
  <c r="AG68" i="3"/>
  <c r="E69" i="3"/>
  <c r="K67" i="3"/>
  <c r="D68" i="3"/>
  <c r="H68" i="3"/>
  <c r="I68" i="3"/>
  <c r="N69" i="3"/>
  <c r="J68" i="3"/>
  <c r="O69" i="3"/>
  <c r="P69" i="3"/>
  <c r="Q69" i="3"/>
  <c r="R69" i="3"/>
  <c r="S69" i="3"/>
  <c r="W69" i="3"/>
  <c r="X69" i="3"/>
  <c r="AD69" i="3"/>
  <c r="Y69" i="3"/>
  <c r="AE69" i="3"/>
  <c r="AG69" i="3"/>
  <c r="E70" i="3"/>
  <c r="K68" i="3"/>
  <c r="D69" i="3"/>
  <c r="H69" i="3"/>
  <c r="I69" i="3"/>
  <c r="N70" i="3"/>
  <c r="J69" i="3"/>
  <c r="O70" i="3"/>
  <c r="P70" i="3"/>
  <c r="Q70" i="3"/>
  <c r="R70" i="3"/>
  <c r="S70" i="3"/>
  <c r="W70" i="3"/>
  <c r="X70" i="3"/>
  <c r="AD70" i="3"/>
  <c r="Y70" i="3"/>
  <c r="AE70" i="3"/>
  <c r="AG70" i="3"/>
  <c r="E71" i="3"/>
  <c r="K69" i="3"/>
  <c r="D70" i="3"/>
  <c r="H70" i="3"/>
  <c r="I70" i="3"/>
  <c r="N71" i="3"/>
  <c r="J70" i="3"/>
  <c r="O71" i="3"/>
  <c r="P71" i="3"/>
  <c r="Q71" i="3"/>
  <c r="R71" i="3"/>
  <c r="S71" i="3"/>
  <c r="W71" i="3"/>
  <c r="X71" i="3"/>
  <c r="AD71" i="3"/>
  <c r="Y71" i="3"/>
  <c r="AE71" i="3"/>
  <c r="AG71" i="3"/>
  <c r="E72" i="3"/>
  <c r="K70" i="3"/>
  <c r="D71" i="3"/>
  <c r="H71" i="3"/>
  <c r="I71" i="3"/>
  <c r="N72" i="3"/>
  <c r="J71" i="3"/>
  <c r="O72" i="3"/>
  <c r="P72" i="3"/>
  <c r="Q72" i="3"/>
  <c r="R72" i="3"/>
  <c r="S72" i="3"/>
  <c r="W72" i="3"/>
  <c r="X72" i="3"/>
  <c r="AD72" i="3"/>
  <c r="Y72" i="3"/>
  <c r="AE72" i="3"/>
  <c r="AG72" i="3"/>
  <c r="E73" i="3"/>
  <c r="K71" i="3"/>
  <c r="D72" i="3"/>
  <c r="H72" i="3"/>
  <c r="I72" i="3"/>
  <c r="N73" i="3"/>
  <c r="J72" i="3"/>
  <c r="O73" i="3"/>
  <c r="P73" i="3"/>
  <c r="Q73" i="3"/>
  <c r="R73" i="3"/>
  <c r="S73" i="3"/>
  <c r="W73" i="3"/>
  <c r="X73" i="3"/>
  <c r="AD73" i="3"/>
  <c r="Y73" i="3"/>
  <c r="AE73" i="3"/>
  <c r="AG73" i="3"/>
  <c r="E74" i="3"/>
  <c r="K72" i="3"/>
  <c r="D73" i="3"/>
  <c r="H73" i="3"/>
  <c r="I73" i="3"/>
  <c r="N74" i="3"/>
  <c r="J73" i="3"/>
  <c r="O74" i="3"/>
  <c r="P74" i="3"/>
  <c r="Q74" i="3"/>
  <c r="R74" i="3"/>
  <c r="S74" i="3"/>
  <c r="W74" i="3"/>
  <c r="X74" i="3"/>
  <c r="AD74" i="3"/>
  <c r="Y74" i="3"/>
  <c r="AE74" i="3"/>
  <c r="AG74" i="3"/>
  <c r="E75" i="3"/>
  <c r="K73" i="3"/>
  <c r="D74" i="3"/>
  <c r="H74" i="3"/>
  <c r="I74" i="3"/>
  <c r="N75" i="3"/>
  <c r="J74" i="3"/>
  <c r="O75" i="3"/>
  <c r="P75" i="3"/>
  <c r="Q75" i="3"/>
  <c r="R75" i="3"/>
  <c r="S75" i="3"/>
  <c r="W75" i="3"/>
  <c r="X75" i="3"/>
  <c r="AD75" i="3"/>
  <c r="Y75" i="3"/>
  <c r="AE75" i="3"/>
  <c r="AG75" i="3"/>
  <c r="E76" i="3"/>
  <c r="K74" i="3"/>
  <c r="D75" i="3"/>
  <c r="H75" i="3"/>
  <c r="I75" i="3"/>
  <c r="N76" i="3"/>
  <c r="J75" i="3"/>
  <c r="O76" i="3"/>
  <c r="P76" i="3"/>
  <c r="Q76" i="3"/>
  <c r="R76" i="3"/>
  <c r="S76" i="3"/>
  <c r="W76" i="3"/>
  <c r="X76" i="3"/>
  <c r="AD76" i="3"/>
  <c r="Y76" i="3"/>
  <c r="AE76" i="3"/>
  <c r="AG76" i="3"/>
  <c r="E77" i="3"/>
  <c r="K75" i="3"/>
  <c r="D76" i="3"/>
  <c r="H76" i="3"/>
  <c r="I76" i="3"/>
  <c r="N77" i="3"/>
  <c r="J76" i="3"/>
  <c r="O77" i="3"/>
  <c r="P77" i="3"/>
  <c r="Q77" i="3"/>
  <c r="R77" i="3"/>
  <c r="S77" i="3"/>
  <c r="W77" i="3"/>
  <c r="X77" i="3"/>
  <c r="AD77" i="3"/>
  <c r="Y77" i="3"/>
  <c r="AE77" i="3"/>
  <c r="AG77" i="3"/>
  <c r="E78" i="3"/>
  <c r="K76" i="3"/>
  <c r="D77" i="3"/>
  <c r="H77" i="3"/>
  <c r="I77" i="3"/>
  <c r="N78" i="3"/>
  <c r="J77" i="3"/>
  <c r="O78" i="3"/>
  <c r="P78" i="3"/>
  <c r="Q78" i="3"/>
  <c r="R78" i="3"/>
  <c r="S78" i="3"/>
  <c r="W78" i="3"/>
  <c r="X78" i="3"/>
  <c r="AD78" i="3"/>
  <c r="Y78" i="3"/>
  <c r="AE78" i="3"/>
  <c r="AG78" i="3"/>
  <c r="E79" i="3"/>
  <c r="K77" i="3"/>
  <c r="D78" i="3"/>
  <c r="H78" i="3"/>
  <c r="I78" i="3"/>
  <c r="N79" i="3"/>
  <c r="J78" i="3"/>
  <c r="O79" i="3"/>
  <c r="P79" i="3"/>
  <c r="Q79" i="3"/>
  <c r="R79" i="3"/>
  <c r="S79" i="3"/>
  <c r="W79" i="3"/>
  <c r="X79" i="3"/>
  <c r="AD79" i="3"/>
  <c r="Y79" i="3"/>
  <c r="AE79" i="3"/>
  <c r="AG79" i="3"/>
  <c r="E80" i="3"/>
  <c r="K78" i="3"/>
  <c r="D79" i="3"/>
  <c r="H79" i="3"/>
  <c r="I79" i="3"/>
  <c r="N80" i="3"/>
  <c r="J79" i="3"/>
  <c r="O80" i="3"/>
  <c r="P80" i="3"/>
  <c r="Q80" i="3"/>
  <c r="R80" i="3"/>
  <c r="S80" i="3"/>
  <c r="W80" i="3"/>
  <c r="X80" i="3"/>
  <c r="AD80" i="3"/>
  <c r="Y80" i="3"/>
  <c r="AE80" i="3"/>
  <c r="AG80" i="3"/>
  <c r="E81" i="3"/>
  <c r="K79" i="3"/>
  <c r="D80" i="3"/>
  <c r="H80" i="3"/>
  <c r="I80" i="3"/>
  <c r="N81" i="3"/>
  <c r="J80" i="3"/>
  <c r="O81" i="3"/>
  <c r="P81" i="3"/>
  <c r="Q81" i="3"/>
  <c r="R81" i="3"/>
  <c r="S81" i="3"/>
  <c r="W81" i="3"/>
  <c r="X81" i="3"/>
  <c r="AD81" i="3"/>
  <c r="Y81" i="3"/>
  <c r="AE81" i="3"/>
  <c r="AG81" i="3"/>
  <c r="X82" i="3"/>
  <c r="AD82" i="3"/>
  <c r="Y82" i="3"/>
  <c r="AE82" i="3"/>
  <c r="AG82" i="3"/>
  <c r="X83" i="3"/>
  <c r="AD83" i="3"/>
  <c r="Y83" i="3"/>
  <c r="AE83" i="3"/>
  <c r="AG83" i="3"/>
  <c r="X84" i="3"/>
  <c r="AD84" i="3"/>
  <c r="Y84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84" i="3"/>
  <c r="AA84" i="3"/>
  <c r="AE84" i="3"/>
  <c r="AH84" i="3"/>
  <c r="AL85" i="3"/>
  <c r="AS85" i="3"/>
  <c r="AT85" i="3"/>
  <c r="AJ86" i="3"/>
  <c r="AB85" i="3"/>
  <c r="AM85" i="3"/>
  <c r="AG84" i="3"/>
  <c r="AK85" i="3"/>
  <c r="AN85" i="3"/>
  <c r="AD85" i="3"/>
  <c r="Y85" i="3"/>
  <c r="Z85" i="3"/>
  <c r="AA85" i="3"/>
  <c r="AE85" i="3"/>
  <c r="AH85" i="3"/>
  <c r="AL86" i="3"/>
  <c r="AS86" i="3"/>
  <c r="AT86" i="3"/>
  <c r="AJ87" i="3"/>
  <c r="AB86" i="3"/>
  <c r="AM86" i="3"/>
  <c r="AG85" i="3"/>
  <c r="AK86" i="3"/>
  <c r="AN86" i="3"/>
  <c r="AD86" i="3"/>
  <c r="Y86" i="3"/>
  <c r="Z86" i="3"/>
  <c r="AA86" i="3"/>
  <c r="AE86" i="3"/>
  <c r="AH86" i="3"/>
  <c r="AL87" i="3"/>
  <c r="AS87" i="3"/>
  <c r="AT87" i="3"/>
  <c r="AJ88" i="3"/>
  <c r="AB87" i="3"/>
  <c r="AM87" i="3"/>
  <c r="AG86" i="3"/>
  <c r="AK87" i="3"/>
  <c r="AN87" i="3"/>
  <c r="AD87" i="3"/>
  <c r="Y87" i="3"/>
  <c r="Z87" i="3"/>
  <c r="AA87" i="3"/>
  <c r="AE87" i="3"/>
  <c r="AH87" i="3"/>
  <c r="AL88" i="3"/>
  <c r="AS88" i="3"/>
  <c r="AT88" i="3"/>
  <c r="AT89" i="3"/>
  <c r="Q6" i="4"/>
  <c r="E82" i="3"/>
  <c r="E83" i="3"/>
  <c r="E84" i="3"/>
  <c r="E85" i="3"/>
  <c r="K80" i="3"/>
  <c r="D81" i="3"/>
  <c r="H81" i="3"/>
  <c r="I81" i="3"/>
  <c r="N82" i="3"/>
  <c r="J81" i="3"/>
  <c r="K81" i="3"/>
  <c r="O82" i="3"/>
  <c r="D82" i="3"/>
  <c r="H82" i="3"/>
  <c r="I82" i="3"/>
  <c r="N83" i="3"/>
  <c r="J82" i="3"/>
  <c r="K82" i="3"/>
  <c r="O83" i="3"/>
  <c r="D83" i="3"/>
  <c r="H83" i="3"/>
  <c r="I83" i="3"/>
  <c r="N84" i="3"/>
  <c r="J83" i="3"/>
  <c r="K83" i="3"/>
  <c r="O84" i="3"/>
  <c r="D84" i="3"/>
  <c r="H84" i="3"/>
  <c r="I84" i="3"/>
  <c r="N85" i="3"/>
  <c r="J84" i="3"/>
  <c r="O85" i="3"/>
  <c r="P85" i="3"/>
  <c r="Q85" i="3"/>
  <c r="R85" i="3"/>
  <c r="S85" i="3"/>
  <c r="M86" i="3"/>
  <c r="E86" i="3"/>
  <c r="K84" i="3"/>
  <c r="D85" i="3"/>
  <c r="H85" i="3"/>
  <c r="I85" i="3"/>
  <c r="N86" i="3"/>
  <c r="J85" i="3"/>
  <c r="O86" i="3"/>
  <c r="P86" i="3"/>
  <c r="Q86" i="3"/>
  <c r="R86" i="3"/>
  <c r="S86" i="3"/>
  <c r="M87" i="3"/>
  <c r="E87" i="3"/>
  <c r="K85" i="3"/>
  <c r="D86" i="3"/>
  <c r="H86" i="3"/>
  <c r="I86" i="3"/>
  <c r="N87" i="3"/>
  <c r="J86" i="3"/>
  <c r="O87" i="3"/>
  <c r="P87" i="3"/>
  <c r="Q87" i="3"/>
  <c r="R87" i="3"/>
  <c r="S87" i="3"/>
  <c r="M88" i="3"/>
  <c r="E88" i="3"/>
  <c r="K86" i="3"/>
  <c r="D87" i="3"/>
  <c r="H87" i="3"/>
  <c r="I87" i="3"/>
  <c r="N88" i="3"/>
  <c r="J87" i="3"/>
  <c r="O88" i="3"/>
  <c r="P88" i="3"/>
  <c r="Q88" i="3"/>
  <c r="R88" i="3"/>
  <c r="S88" i="3"/>
  <c r="S91" i="3"/>
  <c r="J6" i="4"/>
  <c r="S6" i="4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X39" i="3"/>
  <c r="Y39" i="3"/>
  <c r="AD39" i="3"/>
  <c r="AE39" i="3"/>
  <c r="AG39" i="3"/>
  <c r="AD40" i="3"/>
  <c r="Y40" i="3"/>
  <c r="AE40" i="3"/>
  <c r="AG40" i="3"/>
  <c r="AD41" i="3"/>
  <c r="Y41" i="3"/>
  <c r="AE41" i="3"/>
  <c r="AG41" i="3"/>
  <c r="AD42" i="3"/>
  <c r="Y42" i="3"/>
  <c r="AE42" i="3"/>
  <c r="AG42" i="3"/>
  <c r="AD43" i="3"/>
  <c r="Y43" i="3"/>
  <c r="AE43" i="3"/>
  <c r="AG43" i="3"/>
  <c r="AD44" i="3"/>
  <c r="Y44" i="3"/>
  <c r="AE44" i="3"/>
  <c r="AG44" i="3"/>
  <c r="AD45" i="3"/>
  <c r="Y45" i="3"/>
  <c r="AE45" i="3"/>
  <c r="AG45" i="3"/>
  <c r="AD46" i="3"/>
  <c r="Y46" i="3"/>
  <c r="AE46" i="3"/>
  <c r="AG46" i="3"/>
  <c r="AD47" i="3"/>
  <c r="Y47" i="3"/>
  <c r="AE47" i="3"/>
  <c r="AG47" i="3"/>
  <c r="AD48" i="3"/>
  <c r="Y48" i="3"/>
  <c r="AE48" i="3"/>
  <c r="AG48" i="3"/>
  <c r="AD49" i="3"/>
  <c r="Y49" i="3"/>
  <c r="AE49" i="3"/>
  <c r="AG49" i="3"/>
  <c r="AD50" i="3"/>
  <c r="Y50" i="3"/>
  <c r="AE50" i="3"/>
  <c r="AG50" i="3"/>
  <c r="AD51" i="3"/>
  <c r="Y51" i="3"/>
  <c r="AE51" i="3"/>
  <c r="AG51" i="3"/>
  <c r="AD52" i="3"/>
  <c r="Y52" i="3"/>
  <c r="AE52" i="3"/>
  <c r="AG52" i="3"/>
  <c r="AD53" i="3"/>
  <c r="Y53" i="3"/>
  <c r="AE53" i="3"/>
  <c r="AG53" i="3"/>
  <c r="AD54" i="3"/>
  <c r="Y54" i="3"/>
  <c r="AE54" i="3"/>
  <c r="AG54" i="3"/>
  <c r="AD55" i="3"/>
  <c r="Y55" i="3"/>
  <c r="AE55" i="3"/>
  <c r="AG55" i="3"/>
  <c r="AD56" i="3"/>
  <c r="Y56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AA56" i="3"/>
  <c r="AE56" i="3"/>
  <c r="AH56" i="3"/>
  <c r="AL57" i="3"/>
  <c r="AS57" i="3"/>
  <c r="AT57" i="3"/>
  <c r="AJ58" i="3"/>
  <c r="AB57" i="3"/>
  <c r="AM57" i="3"/>
  <c r="AG56" i="3"/>
  <c r="AK57" i="3"/>
  <c r="AN57" i="3"/>
  <c r="AD57" i="3"/>
  <c r="Y57" i="3"/>
  <c r="Z57" i="3"/>
  <c r="AA57" i="3"/>
  <c r="AE57" i="3"/>
  <c r="AH57" i="3"/>
  <c r="AL58" i="3"/>
  <c r="AS58" i="3"/>
  <c r="AT58" i="3"/>
  <c r="AJ59" i="3"/>
  <c r="AB58" i="3"/>
  <c r="AM58" i="3"/>
  <c r="AG57" i="3"/>
  <c r="AK58" i="3"/>
  <c r="AN58" i="3"/>
  <c r="AD58" i="3"/>
  <c r="Y58" i="3"/>
  <c r="Z58" i="3"/>
  <c r="AA58" i="3"/>
  <c r="AE58" i="3"/>
  <c r="AH58" i="3"/>
  <c r="AL59" i="3"/>
  <c r="AS59" i="3"/>
  <c r="AT59" i="3"/>
  <c r="AJ60" i="3"/>
  <c r="AB59" i="3"/>
  <c r="AM59" i="3"/>
  <c r="AG58" i="3"/>
  <c r="AK59" i="3"/>
  <c r="AN59" i="3"/>
  <c r="AD59" i="3"/>
  <c r="Y59" i="3"/>
  <c r="Z59" i="3"/>
  <c r="AA59" i="3"/>
  <c r="AE59" i="3"/>
  <c r="AH59" i="3"/>
  <c r="AL60" i="3"/>
  <c r="AS60" i="3"/>
  <c r="AT60" i="3"/>
  <c r="AT61" i="3"/>
  <c r="Q5" i="4"/>
  <c r="S63" i="3"/>
  <c r="J5" i="4"/>
  <c r="S5" i="4"/>
  <c r="Q4" i="4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D11" i="3"/>
  <c r="G11" i="3"/>
  <c r="H11" i="3"/>
  <c r="I11" i="3"/>
  <c r="J11" i="3"/>
  <c r="K11" i="3"/>
  <c r="D12" i="3"/>
  <c r="H12" i="3"/>
  <c r="I12" i="3"/>
  <c r="J12" i="3"/>
  <c r="K12" i="3"/>
  <c r="D13" i="3"/>
  <c r="H13" i="3"/>
  <c r="I13" i="3"/>
  <c r="J13" i="3"/>
  <c r="K13" i="3"/>
  <c r="D14" i="3"/>
  <c r="H14" i="3"/>
  <c r="I14" i="3"/>
  <c r="J14" i="3"/>
  <c r="K14" i="3"/>
  <c r="D15" i="3"/>
  <c r="H15" i="3"/>
  <c r="I15" i="3"/>
  <c r="J15" i="3"/>
  <c r="K15" i="3"/>
  <c r="D16" i="3"/>
  <c r="H16" i="3"/>
  <c r="I16" i="3"/>
  <c r="J16" i="3"/>
  <c r="K16" i="3"/>
  <c r="D17" i="3"/>
  <c r="H17" i="3"/>
  <c r="I17" i="3"/>
  <c r="J17" i="3"/>
  <c r="K17" i="3"/>
  <c r="D18" i="3"/>
  <c r="H18" i="3"/>
  <c r="I18" i="3"/>
  <c r="J18" i="3"/>
  <c r="K18" i="3"/>
  <c r="D19" i="3"/>
  <c r="H19" i="3"/>
  <c r="I19" i="3"/>
  <c r="J19" i="3"/>
  <c r="K19" i="3"/>
  <c r="D20" i="3"/>
  <c r="H20" i="3"/>
  <c r="I20" i="3"/>
  <c r="J20" i="3"/>
  <c r="K20" i="3"/>
  <c r="D21" i="3"/>
  <c r="H21" i="3"/>
  <c r="I21" i="3"/>
  <c r="J21" i="3"/>
  <c r="K21" i="3"/>
  <c r="D22" i="3"/>
  <c r="H22" i="3"/>
  <c r="I22" i="3"/>
  <c r="J22" i="3"/>
  <c r="K22" i="3"/>
  <c r="D23" i="3"/>
  <c r="H23" i="3"/>
  <c r="I23" i="3"/>
  <c r="J23" i="3"/>
  <c r="K23" i="3"/>
  <c r="D24" i="3"/>
  <c r="H24" i="3"/>
  <c r="I24" i="3"/>
  <c r="J24" i="3"/>
  <c r="K24" i="3"/>
  <c r="D25" i="3"/>
  <c r="H25" i="3"/>
  <c r="I25" i="3"/>
  <c r="J25" i="3"/>
  <c r="K25" i="3"/>
  <c r="D26" i="3"/>
  <c r="H26" i="3"/>
  <c r="I26" i="3"/>
  <c r="J26" i="3"/>
  <c r="K26" i="3"/>
  <c r="D27" i="3"/>
  <c r="H27" i="3"/>
  <c r="I27" i="3"/>
  <c r="J27" i="3"/>
  <c r="K27" i="3"/>
  <c r="D28" i="3"/>
  <c r="H28" i="3"/>
  <c r="I28" i="3"/>
  <c r="N29" i="3"/>
  <c r="J28" i="3"/>
  <c r="O29" i="3"/>
  <c r="P29" i="3"/>
  <c r="Q29" i="3"/>
  <c r="R29" i="3"/>
  <c r="S29" i="3"/>
  <c r="M30" i="3"/>
  <c r="E30" i="3"/>
  <c r="K28" i="3"/>
  <c r="D29" i="3"/>
  <c r="H29" i="3"/>
  <c r="I29" i="3"/>
  <c r="N30" i="3"/>
  <c r="J29" i="3"/>
  <c r="O30" i="3"/>
  <c r="P30" i="3"/>
  <c r="Q30" i="3"/>
  <c r="R30" i="3"/>
  <c r="S30" i="3"/>
  <c r="M31" i="3"/>
  <c r="E31" i="3"/>
  <c r="K29" i="3"/>
  <c r="D30" i="3"/>
  <c r="H30" i="3"/>
  <c r="I30" i="3"/>
  <c r="N31" i="3"/>
  <c r="J30" i="3"/>
  <c r="O31" i="3"/>
  <c r="P31" i="3"/>
  <c r="Q31" i="3"/>
  <c r="R31" i="3"/>
  <c r="S31" i="3"/>
  <c r="M32" i="3"/>
  <c r="E32" i="3"/>
  <c r="K30" i="3"/>
  <c r="D31" i="3"/>
  <c r="H31" i="3"/>
  <c r="I31" i="3"/>
  <c r="N32" i="3"/>
  <c r="J31" i="3"/>
  <c r="O32" i="3"/>
  <c r="P32" i="3"/>
  <c r="Q32" i="3"/>
  <c r="R32" i="3"/>
  <c r="S32" i="3"/>
  <c r="S35" i="3"/>
  <c r="J4" i="4"/>
  <c r="S4" i="4"/>
  <c r="R175" i="2"/>
  <c r="I22" i="4"/>
  <c r="S174" i="2"/>
  <c r="H22" i="4"/>
  <c r="R174" i="2"/>
  <c r="G22" i="4"/>
  <c r="K173" i="2"/>
  <c r="F22" i="4"/>
  <c r="I173" i="2"/>
  <c r="E22" i="4"/>
  <c r="C173" i="2"/>
  <c r="D22" i="4"/>
  <c r="R147" i="2"/>
  <c r="I21" i="4"/>
  <c r="S146" i="2"/>
  <c r="H21" i="4"/>
  <c r="R146" i="2"/>
  <c r="G21" i="4"/>
  <c r="K143" i="2"/>
  <c r="D144" i="2"/>
  <c r="K144" i="2"/>
  <c r="K145" i="2"/>
  <c r="F21" i="4"/>
  <c r="H144" i="2"/>
  <c r="I144" i="2"/>
  <c r="I145" i="2"/>
  <c r="E21" i="4"/>
  <c r="C145" i="2"/>
  <c r="D21" i="4"/>
  <c r="R119" i="2"/>
  <c r="I19" i="4"/>
  <c r="P110" i="2"/>
  <c r="Q110" i="2"/>
  <c r="R110" i="2"/>
  <c r="S110" i="2"/>
  <c r="P111" i="2"/>
  <c r="Q111" i="2"/>
  <c r="R111" i="2"/>
  <c r="S111" i="2"/>
  <c r="P112" i="2"/>
  <c r="Q112" i="2"/>
  <c r="R112" i="2"/>
  <c r="S112" i="2"/>
  <c r="S118" i="2"/>
  <c r="H19" i="4"/>
  <c r="R118" i="2"/>
  <c r="G19" i="4"/>
  <c r="K115" i="2"/>
  <c r="D116" i="2"/>
  <c r="K116" i="2"/>
  <c r="K117" i="2"/>
  <c r="F19" i="4"/>
  <c r="H116" i="2"/>
  <c r="I116" i="2"/>
  <c r="I117" i="2"/>
  <c r="E19" i="4"/>
  <c r="C117" i="2"/>
  <c r="D19" i="4"/>
  <c r="R91" i="2"/>
  <c r="I18" i="4"/>
  <c r="P82" i="2"/>
  <c r="Q82" i="2"/>
  <c r="R82" i="2"/>
  <c r="S82" i="2"/>
  <c r="P83" i="2"/>
  <c r="Q83" i="2"/>
  <c r="R83" i="2"/>
  <c r="S83" i="2"/>
  <c r="P84" i="2"/>
  <c r="Q84" i="2"/>
  <c r="R84" i="2"/>
  <c r="S84" i="2"/>
  <c r="S90" i="2"/>
  <c r="H18" i="4"/>
  <c r="R90" i="2"/>
  <c r="G18" i="4"/>
  <c r="K87" i="2"/>
  <c r="D88" i="2"/>
  <c r="K88" i="2"/>
  <c r="K89" i="2"/>
  <c r="F18" i="4"/>
  <c r="H88" i="2"/>
  <c r="I88" i="2"/>
  <c r="I89" i="2"/>
  <c r="E18" i="4"/>
  <c r="C89" i="2"/>
  <c r="D18" i="4"/>
  <c r="R63" i="2"/>
  <c r="I17" i="4"/>
  <c r="S62" i="2"/>
  <c r="H17" i="4"/>
  <c r="R62" i="2"/>
  <c r="G17" i="4"/>
  <c r="K61" i="2"/>
  <c r="F17" i="4"/>
  <c r="I61" i="2"/>
  <c r="E17" i="4"/>
  <c r="C61" i="2"/>
  <c r="D17" i="4"/>
  <c r="R35" i="2"/>
  <c r="I16" i="4"/>
  <c r="S34" i="2"/>
  <c r="H16" i="4"/>
  <c r="R34" i="2"/>
  <c r="G16" i="4"/>
  <c r="K31" i="2"/>
  <c r="D32" i="2"/>
  <c r="K32" i="2"/>
  <c r="K33" i="2"/>
  <c r="F16" i="4"/>
  <c r="H32" i="2"/>
  <c r="I32" i="2"/>
  <c r="I33" i="2"/>
  <c r="E16" i="4"/>
  <c r="C33" i="2"/>
  <c r="D16" i="4"/>
  <c r="R175" i="3"/>
  <c r="I10" i="4"/>
  <c r="S174" i="3"/>
  <c r="H10" i="4"/>
  <c r="R174" i="3"/>
  <c r="G10" i="4"/>
  <c r="K173" i="3"/>
  <c r="F10" i="4"/>
  <c r="I173" i="3"/>
  <c r="E10" i="4"/>
  <c r="C173" i="3"/>
  <c r="D10" i="4"/>
  <c r="R147" i="3"/>
  <c r="I9" i="4"/>
  <c r="S146" i="3"/>
  <c r="H9" i="4"/>
  <c r="R146" i="3"/>
  <c r="G9" i="4"/>
  <c r="K143" i="3"/>
  <c r="D144" i="3"/>
  <c r="K144" i="3"/>
  <c r="K145" i="3"/>
  <c r="F9" i="4"/>
  <c r="H144" i="3"/>
  <c r="I144" i="3"/>
  <c r="I145" i="3"/>
  <c r="E9" i="4"/>
  <c r="C145" i="3"/>
  <c r="D9" i="4"/>
  <c r="R119" i="3"/>
  <c r="I7" i="4"/>
  <c r="P110" i="3"/>
  <c r="Q110" i="3"/>
  <c r="R110" i="3"/>
  <c r="S110" i="3"/>
  <c r="P111" i="3"/>
  <c r="Q111" i="3"/>
  <c r="R111" i="3"/>
  <c r="S111" i="3"/>
  <c r="P112" i="3"/>
  <c r="Q112" i="3"/>
  <c r="R112" i="3"/>
  <c r="S112" i="3"/>
  <c r="S118" i="3"/>
  <c r="H7" i="4"/>
  <c r="R118" i="3"/>
  <c r="G7" i="4"/>
  <c r="K115" i="3"/>
  <c r="D116" i="3"/>
  <c r="K116" i="3"/>
  <c r="K117" i="3"/>
  <c r="F7" i="4"/>
  <c r="H116" i="3"/>
  <c r="I116" i="3"/>
  <c r="I117" i="3"/>
  <c r="E7" i="4"/>
  <c r="C117" i="3"/>
  <c r="D7" i="4"/>
  <c r="R91" i="3"/>
  <c r="I6" i="4"/>
  <c r="P82" i="3"/>
  <c r="Q82" i="3"/>
  <c r="R82" i="3"/>
  <c r="S82" i="3"/>
  <c r="P83" i="3"/>
  <c r="Q83" i="3"/>
  <c r="R83" i="3"/>
  <c r="S83" i="3"/>
  <c r="P84" i="3"/>
  <c r="Q84" i="3"/>
  <c r="R84" i="3"/>
  <c r="S84" i="3"/>
  <c r="S90" i="3"/>
  <c r="H6" i="4"/>
  <c r="R90" i="3"/>
  <c r="G6" i="4"/>
  <c r="K87" i="3"/>
  <c r="D88" i="3"/>
  <c r="K88" i="3"/>
  <c r="K89" i="3"/>
  <c r="F6" i="4"/>
  <c r="H88" i="3"/>
  <c r="I88" i="3"/>
  <c r="I89" i="3"/>
  <c r="E6" i="4"/>
  <c r="C89" i="3"/>
  <c r="D6" i="4"/>
  <c r="R63" i="3"/>
  <c r="I5" i="4"/>
  <c r="S62" i="3"/>
  <c r="H5" i="4"/>
  <c r="R62" i="3"/>
  <c r="G5" i="4"/>
  <c r="K61" i="3"/>
  <c r="F5" i="4"/>
  <c r="I61" i="3"/>
  <c r="E5" i="4"/>
  <c r="C61" i="3"/>
  <c r="D5" i="4"/>
  <c r="R35" i="3"/>
  <c r="I4" i="4"/>
  <c r="S34" i="3"/>
  <c r="H4" i="4"/>
  <c r="R34" i="3"/>
  <c r="G4" i="4"/>
  <c r="K31" i="3"/>
  <c r="D32" i="3"/>
  <c r="K32" i="3"/>
  <c r="K33" i="3"/>
  <c r="F4" i="4"/>
  <c r="H32" i="3"/>
  <c r="I32" i="3"/>
  <c r="I33" i="3"/>
  <c r="E4" i="4"/>
  <c r="C33" i="3"/>
  <c r="D4" i="4"/>
  <c r="AT35" i="2"/>
  <c r="AV35" i="2"/>
  <c r="AS35" i="2"/>
  <c r="AH35" i="2"/>
  <c r="AE35" i="2"/>
  <c r="X35" i="2"/>
  <c r="W35" i="2"/>
  <c r="K35" i="2"/>
  <c r="I35" i="2"/>
  <c r="H35" i="2"/>
  <c r="C35" i="2"/>
  <c r="AT34" i="2"/>
  <c r="AS34" i="2"/>
  <c r="AH34" i="2"/>
  <c r="AE34" i="2"/>
  <c r="X34" i="2"/>
  <c r="W34" i="2"/>
  <c r="K34" i="2"/>
  <c r="I34" i="2"/>
  <c r="H34" i="2"/>
  <c r="C34" i="2"/>
  <c r="AS33" i="2"/>
  <c r="AH33" i="2"/>
  <c r="AE33" i="2"/>
  <c r="X33" i="2"/>
  <c r="W33" i="2"/>
  <c r="S33" i="2"/>
  <c r="R33" i="2"/>
  <c r="H33" i="2"/>
  <c r="AT63" i="2"/>
  <c r="AV63" i="2"/>
  <c r="AS63" i="2"/>
  <c r="AB60" i="2"/>
  <c r="AM60" i="2"/>
  <c r="AG59" i="2"/>
  <c r="AK60" i="2"/>
  <c r="AN60" i="2"/>
  <c r="AD60" i="2"/>
  <c r="Y60" i="2"/>
  <c r="AH60" i="2"/>
  <c r="AH63" i="2"/>
  <c r="AE60" i="2"/>
  <c r="AE63" i="2"/>
  <c r="X63" i="2"/>
  <c r="W63" i="2"/>
  <c r="K63" i="2"/>
  <c r="I63" i="2"/>
  <c r="H63" i="2"/>
  <c r="C63" i="2"/>
  <c r="AT62" i="2"/>
  <c r="AS62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62" i="2"/>
  <c r="AE62" i="2"/>
  <c r="X62" i="2"/>
  <c r="W62" i="2"/>
  <c r="K62" i="2"/>
  <c r="I62" i="2"/>
  <c r="H62" i="2"/>
  <c r="C62" i="2"/>
  <c r="AS61" i="2"/>
  <c r="AH61" i="2"/>
  <c r="AE61" i="2"/>
  <c r="X61" i="2"/>
  <c r="W61" i="2"/>
  <c r="S61" i="2"/>
  <c r="R61" i="2"/>
  <c r="H61" i="2"/>
  <c r="AT91" i="2"/>
  <c r="AV91" i="2"/>
  <c r="AS91" i="2"/>
  <c r="AB88" i="2"/>
  <c r="AM88" i="2"/>
  <c r="AG87" i="2"/>
  <c r="AK88" i="2"/>
  <c r="AN88" i="2"/>
  <c r="AD88" i="2"/>
  <c r="Y88" i="2"/>
  <c r="AH88" i="2"/>
  <c r="AH91" i="2"/>
  <c r="AE88" i="2"/>
  <c r="AE91" i="2"/>
  <c r="X91" i="2"/>
  <c r="W91" i="2"/>
  <c r="K91" i="2"/>
  <c r="I91" i="2"/>
  <c r="H91" i="2"/>
  <c r="C91" i="2"/>
  <c r="AT90" i="2"/>
  <c r="AS90" i="2"/>
  <c r="AH67" i="2"/>
  <c r="AH68" i="2"/>
  <c r="AH69" i="2"/>
  <c r="AH70" i="2"/>
  <c r="AH71" i="2"/>
  <c r="AH72" i="2"/>
  <c r="AH73" i="2"/>
  <c r="AH74" i="2"/>
  <c r="AH75" i="2"/>
  <c r="AH76" i="2"/>
  <c r="AH77" i="2"/>
  <c r="AH78" i="2"/>
  <c r="AH79" i="2"/>
  <c r="AH80" i="2"/>
  <c r="AH81" i="2"/>
  <c r="AH82" i="2"/>
  <c r="AH83" i="2"/>
  <c r="AH90" i="2"/>
  <c r="AE90" i="2"/>
  <c r="X90" i="2"/>
  <c r="W90" i="2"/>
  <c r="K90" i="2"/>
  <c r="I90" i="2"/>
  <c r="H90" i="2"/>
  <c r="C90" i="2"/>
  <c r="AS89" i="2"/>
  <c r="AH89" i="2"/>
  <c r="AE89" i="2"/>
  <c r="X89" i="2"/>
  <c r="W89" i="2"/>
  <c r="S89" i="2"/>
  <c r="R89" i="2"/>
  <c r="H89" i="2"/>
  <c r="AT119" i="2"/>
  <c r="AV119" i="2"/>
  <c r="AS119" i="2"/>
  <c r="AB116" i="2"/>
  <c r="AM116" i="2"/>
  <c r="AG115" i="2"/>
  <c r="AK116" i="2"/>
  <c r="AN116" i="2"/>
  <c r="AD116" i="2"/>
  <c r="Y116" i="2"/>
  <c r="AH116" i="2"/>
  <c r="AH119" i="2"/>
  <c r="AE116" i="2"/>
  <c r="AE119" i="2"/>
  <c r="X119" i="2"/>
  <c r="W119" i="2"/>
  <c r="K119" i="2"/>
  <c r="I119" i="2"/>
  <c r="H119" i="2"/>
  <c r="C119" i="2"/>
  <c r="AT118" i="2"/>
  <c r="AS118" i="2"/>
  <c r="AH95" i="2"/>
  <c r="AH96" i="2"/>
  <c r="AH97" i="2"/>
  <c r="AH98" i="2"/>
  <c r="AH99" i="2"/>
  <c r="AH100" i="2"/>
  <c r="AH101" i="2"/>
  <c r="AH102" i="2"/>
  <c r="AH103" i="2"/>
  <c r="AH104" i="2"/>
  <c r="AH105" i="2"/>
  <c r="AH106" i="2"/>
  <c r="AH107" i="2"/>
  <c r="AH108" i="2"/>
  <c r="AH109" i="2"/>
  <c r="AH110" i="2"/>
  <c r="AH111" i="2"/>
  <c r="AH118" i="2"/>
  <c r="AE118" i="2"/>
  <c r="X118" i="2"/>
  <c r="W118" i="2"/>
  <c r="K118" i="2"/>
  <c r="I118" i="2"/>
  <c r="H118" i="2"/>
  <c r="C118" i="2"/>
  <c r="AS117" i="2"/>
  <c r="AH117" i="2"/>
  <c r="AE117" i="2"/>
  <c r="X117" i="2"/>
  <c r="W117" i="2"/>
  <c r="S117" i="2"/>
  <c r="R117" i="2"/>
  <c r="H117" i="2"/>
  <c r="AT147" i="2"/>
  <c r="AV147" i="2"/>
  <c r="AS147" i="2"/>
  <c r="AH147" i="2"/>
  <c r="AE147" i="2"/>
  <c r="X147" i="2"/>
  <c r="W147" i="2"/>
  <c r="K147" i="2"/>
  <c r="I147" i="2"/>
  <c r="H147" i="2"/>
  <c r="C147" i="2"/>
  <c r="AT146" i="2"/>
  <c r="AS146" i="2"/>
  <c r="AH146" i="2"/>
  <c r="AE146" i="2"/>
  <c r="X146" i="2"/>
  <c r="W146" i="2"/>
  <c r="K146" i="2"/>
  <c r="I146" i="2"/>
  <c r="H146" i="2"/>
  <c r="C146" i="2"/>
  <c r="AS145" i="2"/>
  <c r="AH145" i="2"/>
  <c r="AE145" i="2"/>
  <c r="X145" i="2"/>
  <c r="W145" i="2"/>
  <c r="S145" i="2"/>
  <c r="R145" i="2"/>
  <c r="H145" i="2"/>
  <c r="AT175" i="2"/>
  <c r="AV175" i="2"/>
  <c r="AS175" i="2"/>
  <c r="AM172" i="2"/>
  <c r="AG171" i="2"/>
  <c r="AK172" i="2"/>
  <c r="AN172" i="2"/>
  <c r="AB172" i="2"/>
  <c r="AD172" i="2"/>
  <c r="Y172" i="2"/>
  <c r="AH172" i="2"/>
  <c r="AH175" i="2"/>
  <c r="AE172" i="2"/>
  <c r="AE175" i="2"/>
  <c r="X175" i="2"/>
  <c r="W175" i="2"/>
  <c r="K175" i="2"/>
  <c r="I175" i="2"/>
  <c r="H175" i="2"/>
  <c r="C175" i="2"/>
  <c r="AT174" i="2"/>
  <c r="AS174" i="2"/>
  <c r="AH151" i="2"/>
  <c r="AH152" i="2"/>
  <c r="AH153" i="2"/>
  <c r="AH154" i="2"/>
  <c r="AH155" i="2"/>
  <c r="AH156" i="2"/>
  <c r="AH157" i="2"/>
  <c r="AH158" i="2"/>
  <c r="AH159" i="2"/>
  <c r="AH160" i="2"/>
  <c r="AH161" i="2"/>
  <c r="AH162" i="2"/>
  <c r="AH163" i="2"/>
  <c r="AH164" i="2"/>
  <c r="AH165" i="2"/>
  <c r="AH166" i="2"/>
  <c r="AH167" i="2"/>
  <c r="AH174" i="2"/>
  <c r="AE174" i="2"/>
  <c r="X174" i="2"/>
  <c r="W174" i="2"/>
  <c r="K174" i="2"/>
  <c r="I174" i="2"/>
  <c r="H174" i="2"/>
  <c r="C174" i="2"/>
  <c r="AS173" i="2"/>
  <c r="AH173" i="2"/>
  <c r="AE173" i="2"/>
  <c r="X173" i="2"/>
  <c r="W173" i="2"/>
  <c r="S173" i="2"/>
  <c r="R173" i="2"/>
  <c r="H173" i="2"/>
  <c r="AT175" i="3"/>
  <c r="AV175" i="3"/>
  <c r="AT147" i="3"/>
  <c r="AV147" i="3"/>
  <c r="AT119" i="3"/>
  <c r="AV119" i="3"/>
  <c r="AT91" i="3"/>
  <c r="AV91" i="3"/>
  <c r="AV35" i="3"/>
  <c r="AT63" i="3"/>
  <c r="AV63" i="3"/>
  <c r="AS175" i="3"/>
  <c r="AM172" i="3"/>
  <c r="AG171" i="3"/>
  <c r="AK172" i="3"/>
  <c r="AN172" i="3"/>
  <c r="AB172" i="3"/>
  <c r="AD172" i="3"/>
  <c r="Y172" i="3"/>
  <c r="AH172" i="3"/>
  <c r="AH175" i="3"/>
  <c r="AE172" i="3"/>
  <c r="AE175" i="3"/>
  <c r="X175" i="3"/>
  <c r="W175" i="3"/>
  <c r="K175" i="3"/>
  <c r="I175" i="3"/>
  <c r="H175" i="3"/>
  <c r="C175" i="3"/>
  <c r="AT174" i="3"/>
  <c r="AS174" i="3"/>
  <c r="AH151" i="3"/>
  <c r="AH152" i="3"/>
  <c r="AH153" i="3"/>
  <c r="AH154" i="3"/>
  <c r="AH155" i="3"/>
  <c r="AH156" i="3"/>
  <c r="AH157" i="3"/>
  <c r="AH158" i="3"/>
  <c r="AH159" i="3"/>
  <c r="AH160" i="3"/>
  <c r="AH161" i="3"/>
  <c r="AH162" i="3"/>
  <c r="AH163" i="3"/>
  <c r="AH164" i="3"/>
  <c r="AH165" i="3"/>
  <c r="AH166" i="3"/>
  <c r="AH167" i="3"/>
  <c r="AH174" i="3"/>
  <c r="AE174" i="3"/>
  <c r="X174" i="3"/>
  <c r="W174" i="3"/>
  <c r="K174" i="3"/>
  <c r="I174" i="3"/>
  <c r="H174" i="3"/>
  <c r="C174" i="3"/>
  <c r="S173" i="3"/>
  <c r="AS173" i="3"/>
  <c r="AH173" i="3"/>
  <c r="AE173" i="3"/>
  <c r="X173" i="3"/>
  <c r="W173" i="3"/>
  <c r="R173" i="3"/>
  <c r="H173" i="3"/>
  <c r="AS147" i="3"/>
  <c r="AH147" i="3"/>
  <c r="AE147" i="3"/>
  <c r="X147" i="3"/>
  <c r="W147" i="3"/>
  <c r="K147" i="3"/>
  <c r="I147" i="3"/>
  <c r="H147" i="3"/>
  <c r="C147" i="3"/>
  <c r="AT146" i="3"/>
  <c r="AS146" i="3"/>
  <c r="AH146" i="3"/>
  <c r="AE146" i="3"/>
  <c r="X146" i="3"/>
  <c r="W146" i="3"/>
  <c r="K146" i="3"/>
  <c r="I146" i="3"/>
  <c r="H146" i="3"/>
  <c r="C146" i="3"/>
  <c r="S145" i="3"/>
  <c r="AS145" i="3"/>
  <c r="AH145" i="3"/>
  <c r="AE145" i="3"/>
  <c r="X145" i="3"/>
  <c r="W145" i="3"/>
  <c r="R145" i="3"/>
  <c r="H145" i="3"/>
  <c r="AS119" i="3"/>
  <c r="AB116" i="3"/>
  <c r="AM116" i="3"/>
  <c r="AG115" i="3"/>
  <c r="AK116" i="3"/>
  <c r="AN116" i="3"/>
  <c r="AD116" i="3"/>
  <c r="Y116" i="3"/>
  <c r="AH116" i="3"/>
  <c r="AH119" i="3"/>
  <c r="AE116" i="3"/>
  <c r="AE119" i="3"/>
  <c r="X119" i="3"/>
  <c r="W119" i="3"/>
  <c r="K119" i="3"/>
  <c r="I119" i="3"/>
  <c r="H119" i="3"/>
  <c r="C119" i="3"/>
  <c r="AT118" i="3"/>
  <c r="AS118" i="3"/>
  <c r="AH95" i="3"/>
  <c r="AH96" i="3"/>
  <c r="AH97" i="3"/>
  <c r="AH98" i="3"/>
  <c r="AH99" i="3"/>
  <c r="AH100" i="3"/>
  <c r="AH101" i="3"/>
  <c r="AH102" i="3"/>
  <c r="AH103" i="3"/>
  <c r="AH104" i="3"/>
  <c r="AH105" i="3"/>
  <c r="AH106" i="3"/>
  <c r="AH107" i="3"/>
  <c r="AH108" i="3"/>
  <c r="AH109" i="3"/>
  <c r="AH110" i="3"/>
  <c r="AH111" i="3"/>
  <c r="AH118" i="3"/>
  <c r="AE118" i="3"/>
  <c r="X118" i="3"/>
  <c r="W118" i="3"/>
  <c r="K118" i="3"/>
  <c r="I118" i="3"/>
  <c r="H118" i="3"/>
  <c r="C118" i="3"/>
  <c r="S117" i="3"/>
  <c r="AS117" i="3"/>
  <c r="AH117" i="3"/>
  <c r="AE117" i="3"/>
  <c r="X117" i="3"/>
  <c r="W117" i="3"/>
  <c r="R117" i="3"/>
  <c r="H117" i="3"/>
  <c r="AS91" i="3"/>
  <c r="AB88" i="3"/>
  <c r="AM88" i="3"/>
  <c r="AG87" i="3"/>
  <c r="AK88" i="3"/>
  <c r="AN88" i="3"/>
  <c r="AD88" i="3"/>
  <c r="Y88" i="3"/>
  <c r="AH88" i="3"/>
  <c r="AH91" i="3"/>
  <c r="AE88" i="3"/>
  <c r="AE91" i="3"/>
  <c r="X91" i="3"/>
  <c r="W91" i="3"/>
  <c r="K91" i="3"/>
  <c r="I91" i="3"/>
  <c r="H91" i="3"/>
  <c r="C91" i="3"/>
  <c r="AT90" i="3"/>
  <c r="AS90" i="3"/>
  <c r="AH67" i="3"/>
  <c r="AH68" i="3"/>
  <c r="AH69" i="3"/>
  <c r="AH70" i="3"/>
  <c r="AH71" i="3"/>
  <c r="AH72" i="3"/>
  <c r="AH73" i="3"/>
  <c r="AH74" i="3"/>
  <c r="AH75" i="3"/>
  <c r="AH76" i="3"/>
  <c r="AH77" i="3"/>
  <c r="AH78" i="3"/>
  <c r="AH79" i="3"/>
  <c r="AH80" i="3"/>
  <c r="AH81" i="3"/>
  <c r="AH82" i="3"/>
  <c r="AH83" i="3"/>
  <c r="AH90" i="3"/>
  <c r="AE90" i="3"/>
  <c r="X90" i="3"/>
  <c r="W90" i="3"/>
  <c r="K90" i="3"/>
  <c r="I90" i="3"/>
  <c r="H90" i="3"/>
  <c r="C90" i="3"/>
  <c r="S89" i="3"/>
  <c r="AS89" i="3"/>
  <c r="AH89" i="3"/>
  <c r="AE89" i="3"/>
  <c r="X89" i="3"/>
  <c r="W89" i="3"/>
  <c r="R89" i="3"/>
  <c r="H89" i="3"/>
  <c r="K63" i="3"/>
  <c r="I63" i="3"/>
  <c r="H63" i="3"/>
  <c r="C63" i="3"/>
  <c r="K62" i="3"/>
  <c r="I62" i="3"/>
  <c r="H62" i="3"/>
  <c r="C62" i="3"/>
  <c r="S61" i="3"/>
  <c r="R61" i="3"/>
  <c r="H61" i="3"/>
  <c r="AT62" i="3"/>
  <c r="AS63" i="3"/>
  <c r="AS62" i="3"/>
  <c r="AS61" i="3"/>
  <c r="AB60" i="3"/>
  <c r="AM60" i="3"/>
  <c r="AG59" i="3"/>
  <c r="AK60" i="3"/>
  <c r="AN60" i="3"/>
  <c r="AD60" i="3"/>
  <c r="Y60" i="3"/>
  <c r="AH60" i="3"/>
  <c r="AH63" i="3"/>
  <c r="AH39" i="3"/>
  <c r="AH40" i="3"/>
  <c r="AH41" i="3"/>
  <c r="AH42" i="3"/>
  <c r="AH43" i="3"/>
  <c r="AH44" i="3"/>
  <c r="AH45" i="3"/>
  <c r="AH46" i="3"/>
  <c r="AH47" i="3"/>
  <c r="AH48" i="3"/>
  <c r="AH49" i="3"/>
  <c r="AH50" i="3"/>
  <c r="AH51" i="3"/>
  <c r="AH52" i="3"/>
  <c r="AH53" i="3"/>
  <c r="AH54" i="3"/>
  <c r="AH55" i="3"/>
  <c r="AH62" i="3"/>
  <c r="AH61" i="3"/>
  <c r="AE60" i="3"/>
  <c r="AE63" i="3"/>
  <c r="AE62" i="3"/>
  <c r="AE61" i="3"/>
  <c r="X61" i="3"/>
  <c r="X62" i="3"/>
  <c r="X63" i="3"/>
  <c r="W63" i="3"/>
  <c r="W62" i="3"/>
  <c r="W61" i="3"/>
  <c r="K35" i="3"/>
  <c r="I35" i="3"/>
  <c r="H35" i="3"/>
  <c r="C35" i="3"/>
  <c r="K34" i="3"/>
  <c r="I34" i="3"/>
  <c r="H34" i="3"/>
  <c r="C34" i="3"/>
  <c r="S33" i="3"/>
  <c r="R33" i="3"/>
  <c r="H33" i="3"/>
  <c r="S92" i="2"/>
  <c r="S93" i="2"/>
  <c r="P22" i="4"/>
  <c r="O22" i="4"/>
  <c r="N22" i="4"/>
  <c r="M22" i="4"/>
  <c r="L22" i="4"/>
  <c r="P21" i="4"/>
  <c r="O21" i="4"/>
  <c r="N21" i="4"/>
  <c r="M21" i="4"/>
  <c r="L21" i="4"/>
  <c r="P19" i="4"/>
  <c r="O19" i="4"/>
  <c r="N19" i="4"/>
  <c r="M19" i="4"/>
  <c r="L19" i="4"/>
  <c r="P18" i="4"/>
  <c r="O18" i="4"/>
  <c r="N18" i="4"/>
  <c r="M18" i="4"/>
  <c r="L18" i="4"/>
  <c r="P17" i="4"/>
  <c r="O17" i="4"/>
  <c r="N17" i="4"/>
  <c r="M17" i="4"/>
  <c r="L17" i="4"/>
  <c r="P16" i="4"/>
  <c r="O16" i="4"/>
  <c r="N16" i="4"/>
  <c r="M16" i="4"/>
  <c r="L16" i="4"/>
  <c r="P10" i="4"/>
  <c r="O10" i="4"/>
  <c r="N10" i="4"/>
  <c r="M10" i="4"/>
  <c r="L10" i="4"/>
  <c r="P9" i="4"/>
  <c r="O9" i="4"/>
  <c r="N9" i="4"/>
  <c r="M9" i="4"/>
  <c r="L9" i="4"/>
  <c r="P7" i="4"/>
  <c r="O7" i="4"/>
  <c r="N7" i="4"/>
  <c r="M7" i="4"/>
  <c r="L7" i="4"/>
  <c r="P6" i="4"/>
  <c r="O6" i="4"/>
  <c r="N6" i="4"/>
  <c r="M6" i="4"/>
  <c r="L6" i="4"/>
  <c r="P5" i="4"/>
  <c r="O5" i="4"/>
  <c r="N5" i="4"/>
  <c r="M5" i="4"/>
  <c r="L5" i="4"/>
  <c r="P4" i="4"/>
  <c r="O4" i="4"/>
  <c r="N4" i="4"/>
  <c r="M4" i="4"/>
  <c r="L4" i="4"/>
  <c r="S92" i="3"/>
  <c r="W182" i="3"/>
  <c r="X182" i="3"/>
  <c r="W183" i="3"/>
  <c r="X183" i="3"/>
  <c r="W181" i="3"/>
  <c r="X181" i="3"/>
  <c r="Y184" i="3"/>
  <c r="X184" i="3"/>
  <c r="Y185" i="2"/>
  <c r="AI172" i="3"/>
  <c r="AI171" i="3"/>
  <c r="AI170" i="3"/>
  <c r="AI169" i="3"/>
  <c r="AI168" i="3"/>
  <c r="AI167" i="3"/>
  <c r="AI166" i="3"/>
  <c r="AI165" i="3"/>
  <c r="AI164" i="3"/>
  <c r="AI163" i="3"/>
  <c r="AI162" i="3"/>
  <c r="AI161" i="3"/>
  <c r="AI160" i="3"/>
  <c r="AI159" i="3"/>
  <c r="AI158" i="3"/>
  <c r="AI157" i="3"/>
  <c r="AI156" i="3"/>
  <c r="AI155" i="3"/>
  <c r="AI154" i="3"/>
  <c r="AI153" i="3"/>
  <c r="AI152" i="3"/>
  <c r="AI151" i="3"/>
  <c r="AI116" i="3"/>
  <c r="AI115" i="3"/>
  <c r="AI114" i="3"/>
  <c r="AI113" i="3"/>
  <c r="AI112" i="3"/>
  <c r="AI111" i="3"/>
  <c r="AI110" i="3"/>
  <c r="AI109" i="3"/>
  <c r="AI108" i="3"/>
  <c r="AI107" i="3"/>
  <c r="AI106" i="3"/>
  <c r="AI105" i="3"/>
  <c r="AI104" i="3"/>
  <c r="AI103" i="3"/>
  <c r="AI102" i="3"/>
  <c r="AI101" i="3"/>
  <c r="AI100" i="3"/>
  <c r="AI99" i="3"/>
  <c r="AI98" i="3"/>
  <c r="AI97" i="3"/>
  <c r="AI96" i="3"/>
  <c r="AI95" i="3"/>
  <c r="AI88" i="3"/>
  <c r="AI87" i="3"/>
  <c r="AI86" i="3"/>
  <c r="AI85" i="3"/>
  <c r="AI84" i="3"/>
  <c r="AI83" i="3"/>
  <c r="AI82" i="3"/>
  <c r="AI81" i="3"/>
  <c r="AI80" i="3"/>
  <c r="AI79" i="3"/>
  <c r="AI78" i="3"/>
  <c r="AI77" i="3"/>
  <c r="AI76" i="3"/>
  <c r="AI75" i="3"/>
  <c r="AI74" i="3"/>
  <c r="AI73" i="3"/>
  <c r="AI72" i="3"/>
  <c r="AI71" i="3"/>
  <c r="AI70" i="3"/>
  <c r="AI69" i="3"/>
  <c r="AI68" i="3"/>
  <c r="AI67" i="3"/>
  <c r="AI60" i="3"/>
  <c r="AI59" i="3"/>
  <c r="AI58" i="3"/>
  <c r="AI57" i="3"/>
  <c r="AI56" i="3"/>
  <c r="AI55" i="3"/>
  <c r="AI54" i="3"/>
  <c r="AI53" i="3"/>
  <c r="AI52" i="3"/>
  <c r="AI51" i="3"/>
  <c r="AI50" i="3"/>
  <c r="AI49" i="3"/>
  <c r="AI48" i="3"/>
  <c r="AI47" i="3"/>
  <c r="AI46" i="3"/>
  <c r="AI45" i="3"/>
  <c r="AI44" i="3"/>
  <c r="AI43" i="3"/>
  <c r="AI42" i="3"/>
  <c r="AI41" i="3"/>
  <c r="AI40" i="3"/>
  <c r="AI39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AI172" i="2"/>
  <c r="AI171" i="2"/>
  <c r="AI170" i="2"/>
  <c r="AI169" i="2"/>
  <c r="AI168" i="2"/>
  <c r="AI167" i="2"/>
  <c r="AI166" i="2"/>
  <c r="AI165" i="2"/>
  <c r="AI164" i="2"/>
  <c r="AI163" i="2"/>
  <c r="AI162" i="2"/>
  <c r="AI161" i="2"/>
  <c r="AI160" i="2"/>
  <c r="AI159" i="2"/>
  <c r="AI158" i="2"/>
  <c r="AI157" i="2"/>
  <c r="AI156" i="2"/>
  <c r="AI155" i="2"/>
  <c r="AI154" i="2"/>
  <c r="AI153" i="2"/>
  <c r="AI152" i="2"/>
  <c r="AI151" i="2"/>
  <c r="AI116" i="2"/>
  <c r="AI115" i="2"/>
  <c r="AI114" i="2"/>
  <c r="AI113" i="2"/>
  <c r="AI112" i="2"/>
  <c r="AI111" i="2"/>
  <c r="AI110" i="2"/>
  <c r="AI109" i="2"/>
  <c r="AI108" i="2"/>
  <c r="AI107" i="2"/>
  <c r="AI106" i="2"/>
  <c r="AI105" i="2"/>
  <c r="AI104" i="2"/>
  <c r="AI103" i="2"/>
  <c r="AI102" i="2"/>
  <c r="AI101" i="2"/>
  <c r="AI100" i="2"/>
  <c r="AI99" i="2"/>
  <c r="AI98" i="2"/>
  <c r="AI97" i="2"/>
  <c r="AI96" i="2"/>
  <c r="AI95" i="2"/>
  <c r="AI88" i="2"/>
  <c r="AI87" i="2"/>
  <c r="AI86" i="2"/>
  <c r="AI85" i="2"/>
  <c r="AI84" i="2"/>
  <c r="AI83" i="2"/>
  <c r="AI82" i="2"/>
  <c r="AI81" i="2"/>
  <c r="AI80" i="2"/>
  <c r="AI79" i="2"/>
  <c r="AI78" i="2"/>
  <c r="AI77" i="2"/>
  <c r="AI76" i="2"/>
  <c r="AI75" i="2"/>
  <c r="AI74" i="2"/>
  <c r="AI73" i="2"/>
  <c r="AI72" i="2"/>
  <c r="AI71" i="2"/>
  <c r="AI70" i="2"/>
  <c r="AI69" i="2"/>
  <c r="AI68" i="2"/>
  <c r="AI67" i="2"/>
  <c r="AI60" i="2"/>
  <c r="AI59" i="2"/>
  <c r="AI58" i="2"/>
  <c r="AI57" i="2"/>
  <c r="AI56" i="2"/>
  <c r="AI55" i="2"/>
  <c r="AI54" i="2"/>
  <c r="AI53" i="2"/>
  <c r="AI52" i="2"/>
  <c r="AI51" i="2"/>
  <c r="AI50" i="2"/>
  <c r="AI49" i="2"/>
  <c r="AI48" i="2"/>
  <c r="AI47" i="2"/>
  <c r="AI46" i="2"/>
  <c r="AI45" i="2"/>
  <c r="AI44" i="2"/>
  <c r="AI43" i="2"/>
  <c r="AI42" i="2"/>
  <c r="AI41" i="2"/>
  <c r="AI40" i="2"/>
  <c r="AI39" i="2"/>
  <c r="L67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W184" i="2"/>
  <c r="X184" i="2"/>
  <c r="W182" i="2"/>
  <c r="X182" i="2"/>
  <c r="W183" i="2"/>
  <c r="X183" i="2"/>
  <c r="X185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V152" i="3"/>
  <c r="V153" i="3"/>
  <c r="V154" i="3"/>
  <c r="V155" i="3"/>
  <c r="V156" i="3"/>
  <c r="V157" i="3"/>
  <c r="V158" i="3"/>
  <c r="V159" i="3"/>
  <c r="V160" i="3"/>
  <c r="V161" i="3"/>
  <c r="V162" i="3"/>
  <c r="V163" i="3"/>
  <c r="V164" i="3"/>
  <c r="V165" i="3"/>
  <c r="V166" i="3"/>
  <c r="V167" i="3"/>
  <c r="V168" i="3"/>
  <c r="V169" i="3"/>
  <c r="V170" i="3"/>
  <c r="V171" i="3"/>
  <c r="V172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AA151" i="2"/>
  <c r="AF2" i="3"/>
  <c r="J6" i="3"/>
  <c r="J2" i="3"/>
  <c r="V96" i="3"/>
  <c r="V97" i="3"/>
  <c r="V98" i="3"/>
  <c r="V99" i="3"/>
  <c r="V100" i="3"/>
  <c r="V101" i="3"/>
  <c r="V102" i="3"/>
  <c r="V103" i="3"/>
  <c r="V104" i="3"/>
  <c r="V105" i="3"/>
  <c r="V106" i="3"/>
  <c r="V107" i="3"/>
  <c r="V108" i="3"/>
  <c r="V109" i="3"/>
  <c r="V110" i="3"/>
  <c r="V111" i="3"/>
  <c r="V112" i="3"/>
  <c r="V113" i="3"/>
  <c r="V114" i="3"/>
  <c r="V115" i="3"/>
  <c r="V116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E5" i="3"/>
  <c r="J2" i="2"/>
  <c r="AA151" i="3"/>
  <c r="AA67" i="3"/>
  <c r="J6" i="2"/>
  <c r="AF2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AA67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AA39" i="3"/>
  <c r="AA95" i="3"/>
  <c r="AA39" i="2"/>
  <c r="AA95" i="2"/>
  <c r="AA152" i="2"/>
  <c r="AA152" i="3"/>
  <c r="AA40" i="2"/>
  <c r="AA40" i="3"/>
  <c r="AA153" i="2"/>
  <c r="AA68" i="2"/>
  <c r="AA41" i="2"/>
  <c r="AA153" i="3"/>
  <c r="AA41" i="3"/>
  <c r="AA42" i="2"/>
  <c r="AA154" i="2"/>
  <c r="AA154" i="3"/>
  <c r="AA43" i="2"/>
  <c r="AA42" i="3"/>
  <c r="AA68" i="3"/>
  <c r="AA69" i="2"/>
  <c r="AA155" i="2"/>
  <c r="AA96" i="3"/>
  <c r="AA44" i="2"/>
  <c r="AA155" i="3"/>
  <c r="AA43" i="3"/>
  <c r="AA45" i="2"/>
  <c r="AA156" i="2"/>
  <c r="AA97" i="3"/>
  <c r="AA69" i="3"/>
  <c r="AA70" i="2"/>
  <c r="AA156" i="3"/>
  <c r="AA46" i="2"/>
  <c r="AA157" i="2"/>
  <c r="AA44" i="3"/>
  <c r="AA71" i="2"/>
  <c r="AA157" i="3"/>
  <c r="AA98" i="3"/>
  <c r="AA47" i="2"/>
  <c r="AA158" i="2"/>
  <c r="AA45" i="3"/>
  <c r="AA70" i="3"/>
  <c r="AA158" i="3"/>
  <c r="AA72" i="2"/>
  <c r="AA48" i="2"/>
  <c r="AA159" i="2"/>
  <c r="AA99" i="3"/>
  <c r="AA46" i="3"/>
  <c r="AA159" i="3"/>
  <c r="AA71" i="3"/>
  <c r="AA49" i="2"/>
  <c r="AA160" i="2"/>
  <c r="AA47" i="3"/>
  <c r="AA160" i="3"/>
  <c r="AA100" i="3"/>
  <c r="AA73" i="2"/>
  <c r="AA50" i="2"/>
  <c r="AA161" i="2"/>
  <c r="AA48" i="3"/>
  <c r="AA72" i="3"/>
  <c r="AA74" i="2"/>
  <c r="AA161" i="3"/>
  <c r="AA101" i="3"/>
  <c r="AA51" i="2"/>
  <c r="AA162" i="2"/>
  <c r="AA73" i="3"/>
  <c r="AA49" i="3"/>
  <c r="AA75" i="2"/>
  <c r="AA162" i="3"/>
  <c r="AA102" i="3"/>
  <c r="AA52" i="2"/>
  <c r="AA163" i="2"/>
  <c r="AA50" i="3"/>
  <c r="AA74" i="3"/>
  <c r="AA163" i="3"/>
  <c r="AA103" i="3"/>
  <c r="AA53" i="2"/>
  <c r="AA164" i="2"/>
  <c r="AA51" i="3"/>
  <c r="AA75" i="3"/>
  <c r="AA164" i="3"/>
  <c r="AA104" i="3"/>
  <c r="AA76" i="2"/>
  <c r="AA54" i="2"/>
  <c r="AA165" i="2"/>
  <c r="AA52" i="3"/>
  <c r="AA165" i="3"/>
  <c r="AA76" i="3"/>
  <c r="AA105" i="3"/>
  <c r="AA55" i="2"/>
  <c r="AA166" i="2"/>
  <c r="AA53" i="3"/>
  <c r="AA77" i="2"/>
  <c r="AA166" i="3"/>
  <c r="AA106" i="3"/>
  <c r="AA167" i="2"/>
  <c r="AA54" i="3"/>
  <c r="AA77" i="3"/>
  <c r="AA78" i="2"/>
  <c r="AA167" i="3"/>
  <c r="AA107" i="3"/>
  <c r="AA55" i="3"/>
  <c r="AA78" i="3"/>
  <c r="AQ169" i="2"/>
  <c r="J144" i="3"/>
  <c r="AA108" i="3"/>
  <c r="AA109" i="3"/>
  <c r="AA79" i="3"/>
  <c r="AA79" i="2"/>
  <c r="J144" i="2"/>
  <c r="AQ169" i="3"/>
  <c r="AQ57" i="3"/>
  <c r="J32" i="3"/>
  <c r="AQ57" i="2"/>
  <c r="J32" i="2"/>
  <c r="AA110" i="3"/>
  <c r="AA80" i="2"/>
  <c r="AQ170" i="2"/>
  <c r="AA80" i="3"/>
  <c r="AA111" i="3"/>
  <c r="AQ170" i="3"/>
  <c r="AQ58" i="3"/>
  <c r="AA81" i="3"/>
  <c r="AA81" i="2"/>
  <c r="AA82" i="3"/>
  <c r="AA82" i="2"/>
  <c r="AQ58" i="2"/>
  <c r="AQ171" i="2"/>
  <c r="AQ59" i="3"/>
  <c r="AQ113" i="3"/>
  <c r="AA83" i="2"/>
  <c r="AA83" i="3"/>
  <c r="Z172" i="2"/>
  <c r="AQ171" i="3"/>
  <c r="AQ85" i="2"/>
  <c r="AQ59" i="2"/>
  <c r="AQ172" i="2"/>
  <c r="Z60" i="3"/>
  <c r="Z172" i="3"/>
  <c r="AQ114" i="3"/>
  <c r="AQ60" i="3"/>
  <c r="AQ85" i="3"/>
  <c r="AA172" i="2"/>
  <c r="AQ172" i="3"/>
  <c r="Z60" i="2"/>
  <c r="AG172" i="2"/>
  <c r="AA60" i="3"/>
  <c r="AQ86" i="2"/>
  <c r="AA172" i="3"/>
  <c r="AG60" i="3"/>
  <c r="AQ60" i="2"/>
  <c r="AG172" i="3"/>
  <c r="J116" i="3"/>
  <c r="AQ115" i="3"/>
  <c r="AA60" i="2"/>
  <c r="AG60" i="2"/>
  <c r="AQ86" i="3"/>
  <c r="AQ87" i="2"/>
  <c r="Z116" i="3"/>
  <c r="AQ116" i="3"/>
  <c r="Z88" i="2"/>
  <c r="J88" i="2"/>
  <c r="AQ87" i="3"/>
  <c r="J88" i="3"/>
  <c r="AA116" i="3"/>
  <c r="AQ88" i="2"/>
  <c r="AG116" i="3"/>
  <c r="AT92" i="2"/>
  <c r="AV92" i="2"/>
  <c r="AA88" i="2"/>
  <c r="Z88" i="3"/>
  <c r="AG88" i="2"/>
  <c r="AQ88" i="3"/>
  <c r="AA88" i="3"/>
  <c r="AG88" i="3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Q113" i="2"/>
  <c r="AQ114" i="2"/>
  <c r="J116" i="2"/>
  <c r="AQ115" i="2"/>
  <c r="Z116" i="2"/>
  <c r="AQ116" i="2"/>
  <c r="AA116" i="2"/>
  <c r="AG116" i="2"/>
</calcChain>
</file>

<file path=xl/sharedStrings.xml><?xml version="1.0" encoding="utf-8"?>
<sst xmlns="http://schemas.openxmlformats.org/spreadsheetml/2006/main" count="569" uniqueCount="67">
  <si>
    <t>Annual Dividend:</t>
  </si>
  <si>
    <t>Capital Growth:</t>
  </si>
  <si>
    <t>Overall Nominal Growth:</t>
  </si>
  <si>
    <t>Overall Real Growth:</t>
  </si>
  <si>
    <t>Dividend</t>
  </si>
  <si>
    <t>Capital Growth</t>
  </si>
  <si>
    <t>After Tax Dividend</t>
  </si>
  <si>
    <t>Dividend Tax Rate:</t>
  </si>
  <si>
    <t>Capital Gains Tax Rate:</t>
  </si>
  <si>
    <t>ACB</t>
  </si>
  <si>
    <t>Other Income:</t>
  </si>
  <si>
    <t>Shares</t>
  </si>
  <si>
    <t>Taxable Account Only</t>
  </si>
  <si>
    <t>RESP Only</t>
  </si>
  <si>
    <t>Capital Gains</t>
  </si>
  <si>
    <t>Subscriber Tax Rates</t>
  </si>
  <si>
    <t>Beneficiary Tax Rates</t>
  </si>
  <si>
    <t>Shares Sold</t>
  </si>
  <si>
    <t>Withdrawal After Dividends</t>
  </si>
  <si>
    <t>Target Withdrawal</t>
  </si>
  <si>
    <t>Net Withdrawal After Tax</t>
  </si>
  <si>
    <t>After Tax Dividend Withdrawal</t>
  </si>
  <si>
    <t>Value At Beg of Year</t>
  </si>
  <si>
    <t>Contribution</t>
  </si>
  <si>
    <t>CESG</t>
  </si>
  <si>
    <t>Cumm Contribution</t>
  </si>
  <si>
    <t>Cumm EAP</t>
  </si>
  <si>
    <t>Contribution Withdrawal</t>
  </si>
  <si>
    <t>EAP Withdrawal</t>
  </si>
  <si>
    <t>Price Beg of Year</t>
  </si>
  <si>
    <t>Dividend Withdrawal</t>
  </si>
  <si>
    <t>Proceeds of Share Disposition</t>
  </si>
  <si>
    <t>Dividend To Reinvest</t>
  </si>
  <si>
    <t>Future Basic Personal Amount (Fed):</t>
  </si>
  <si>
    <t>Maximize CESG</t>
  </si>
  <si>
    <t>Two Years of CESG</t>
  </si>
  <si>
    <t>Basic Personal Amount (Fed):</t>
  </si>
  <si>
    <t>$2,500 per year - Taxable</t>
  </si>
  <si>
    <t>$2,500 per year - RESP</t>
  </si>
  <si>
    <t>Check</t>
  </si>
  <si>
    <t>$3000 for 14 years</t>
  </si>
  <si>
    <t>$2700 for 1 year</t>
  </si>
  <si>
    <t>$2500 for 3 years</t>
  </si>
  <si>
    <t>FV</t>
  </si>
  <si>
    <t>FV @ 18</t>
  </si>
  <si>
    <t>Calcs</t>
  </si>
  <si>
    <t>Value At End of Year</t>
  </si>
  <si>
    <t>Withdrawal</t>
  </si>
  <si>
    <t>Real Capital Growth:</t>
  </si>
  <si>
    <t>Scenario</t>
  </si>
  <si>
    <t>First Two Years of CESG</t>
  </si>
  <si>
    <t>$2,500/yr Taxable Account Only</t>
  </si>
  <si>
    <t>$2,500/yr RESP Only</t>
  </si>
  <si>
    <t>Taxable Account</t>
  </si>
  <si>
    <t>Taxes on Withdrawal</t>
  </si>
  <si>
    <t>RESP</t>
  </si>
  <si>
    <t>Total</t>
  </si>
  <si>
    <t>$2500/year</t>
  </si>
  <si>
    <t>7% Nominal Growth</t>
  </si>
  <si>
    <t>5% Real Growth</t>
  </si>
  <si>
    <t>Total
Contribution</t>
  </si>
  <si>
    <t>Withdrawal To Fund RESP</t>
  </si>
  <si>
    <t>Accumulation</t>
  </si>
  <si>
    <t>Final Withdrawal</t>
  </si>
  <si>
    <t>Taxes on Withdrawal To Fund RESP</t>
  </si>
  <si>
    <t>Taxes on Final Withdrawal</t>
  </si>
  <si>
    <t>$50,000 At Start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</si>
</sst>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8" formatCode="&quot;$&quot;#,##0.00;[Red]\-&quot;$&quot;#,##0.00"/>
    <numFmt numFmtId="164" formatCode="0.0%"/>
    <numFmt numFmtId="165" formatCode="&quot;$&quot;\ 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0" fillId="2" borderId="0" xfId="0" applyFill="1"/>
    <xf numFmtId="164" fontId="0" fillId="2" borderId="0" xfId="0" applyNumberFormat="1" applyFill="1"/>
    <xf numFmtId="6" fontId="0" fillId="2" borderId="0" xfId="0" applyNumberFormat="1" applyFill="1"/>
    <xf numFmtId="0" fontId="0" fillId="2" borderId="0" xfId="0" applyFill="1" applyAlignment="1">
      <alignment horizontal="center"/>
    </xf>
    <xf numFmtId="1" fontId="0" fillId="2" borderId="0" xfId="0" applyNumberFormat="1" applyFill="1"/>
    <xf numFmtId="8" fontId="0" fillId="2" borderId="0" xfId="0" applyNumberFormat="1" applyFill="1"/>
    <xf numFmtId="0" fontId="0" fillId="2" borderId="0" xfId="0" applyFill="1" applyAlignment="1">
      <alignment horizontal="right"/>
    </xf>
    <xf numFmtId="0" fontId="0" fillId="3" borderId="0" xfId="0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right" wrapText="1"/>
    </xf>
    <xf numFmtId="6" fontId="0" fillId="3" borderId="0" xfId="0" applyNumberFormat="1" applyFill="1"/>
    <xf numFmtId="8" fontId="0" fillId="3" borderId="0" xfId="0" applyNumberFormat="1" applyFill="1"/>
    <xf numFmtId="1" fontId="0" fillId="3" borderId="0" xfId="0" applyNumberFormat="1" applyFill="1"/>
    <xf numFmtId="10" fontId="0" fillId="2" borderId="0" xfId="0" applyNumberFormat="1" applyFill="1" applyAlignment="1">
      <alignment horizontal="right"/>
    </xf>
    <xf numFmtId="0" fontId="0" fillId="2" borderId="0" xfId="0" applyFill="1" applyAlignment="1">
      <alignment horizontal="left"/>
    </xf>
    <xf numFmtId="6" fontId="0" fillId="2" borderId="0" xfId="0" applyNumberFormat="1" applyFill="1" applyAlignment="1">
      <alignment horizontal="right"/>
    </xf>
    <xf numFmtId="6" fontId="0" fillId="4" borderId="0" xfId="0" applyNumberFormat="1" applyFill="1"/>
    <xf numFmtId="6" fontId="0" fillId="2" borderId="0" xfId="0" applyNumberFormat="1" applyFill="1" applyAlignment="1">
      <alignment wrapText="1"/>
    </xf>
    <xf numFmtId="0" fontId="1" fillId="2" borderId="0" xfId="0" applyFont="1" applyFill="1" applyAlignment="1">
      <alignment horizontal="left" wrapText="1"/>
    </xf>
    <xf numFmtId="0" fontId="4" fillId="5" borderId="0" xfId="0" applyFont="1" applyFill="1"/>
    <xf numFmtId="0" fontId="0" fillId="2" borderId="0" xfId="0" applyFill="1" applyAlignment="1">
      <alignment horizontal="center" wrapText="1"/>
    </xf>
    <xf numFmtId="165" fontId="0" fillId="2" borderId="0" xfId="0" applyNumberFormat="1" applyFill="1"/>
    <xf numFmtId="165" fontId="0" fillId="2" borderId="1" xfId="0" applyNumberFormat="1" applyFill="1" applyBorder="1"/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5" fontId="0" fillId="3" borderId="1" xfId="0" applyNumberFormat="1" applyFill="1" applyBorder="1"/>
    <xf numFmtId="165" fontId="0" fillId="3" borderId="0" xfId="0" applyNumberFormat="1" applyFill="1"/>
    <xf numFmtId="0" fontId="5" fillId="2" borderId="0" xfId="0" applyFont="1" applyFill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2"/>
  <sheetViews>
    <sheetView tabSelected="1" workbookViewId="0">
      <selection activeCell="P24" sqref="P24"/>
    </sheetView>
  </sheetViews>
  <sheetFormatPr defaultColWidth="10.85546875" defaultRowHeight="15" x14ac:dyDescent="0.25"/>
  <cols>
    <col min="1" max="1" width="3.85546875" style="1" customWidth="1"/>
    <col min="2" max="2" width="10.85546875" style="1"/>
    <col min="3" max="3" width="25.85546875" style="1" customWidth="1"/>
    <col min="4" max="10" width="10.85546875" style="1"/>
    <col min="11" max="11" width="3.7109375" style="1" customWidth="1"/>
    <col min="12" max="17" width="10.85546875" style="1"/>
    <col min="18" max="18" width="3.7109375" style="1" customWidth="1"/>
    <col min="19" max="16384" width="10.85546875" style="1"/>
  </cols>
  <sheetData>
    <row r="2" spans="2:19" ht="18.75" x14ac:dyDescent="0.3">
      <c r="B2" s="29" t="s">
        <v>58</v>
      </c>
      <c r="D2" s="32" t="s">
        <v>53</v>
      </c>
      <c r="E2" s="32"/>
      <c r="F2" s="32"/>
      <c r="G2" s="32"/>
      <c r="H2" s="32"/>
      <c r="I2" s="32"/>
      <c r="J2" s="32"/>
      <c r="K2" s="4"/>
      <c r="L2" s="32" t="s">
        <v>55</v>
      </c>
      <c r="M2" s="32"/>
      <c r="N2" s="32"/>
      <c r="O2" s="32"/>
      <c r="P2" s="32"/>
      <c r="Q2" s="32"/>
    </row>
    <row r="3" spans="2:19" ht="60" x14ac:dyDescent="0.25">
      <c r="C3" s="25" t="s">
        <v>49</v>
      </c>
      <c r="D3" s="24" t="s">
        <v>60</v>
      </c>
      <c r="E3" s="24" t="s">
        <v>6</v>
      </c>
      <c r="F3" s="24" t="s">
        <v>5</v>
      </c>
      <c r="G3" s="24" t="s">
        <v>64</v>
      </c>
      <c r="H3" s="24" t="s">
        <v>61</v>
      </c>
      <c r="I3" s="24" t="s">
        <v>65</v>
      </c>
      <c r="J3" s="24" t="s">
        <v>63</v>
      </c>
      <c r="K3" s="21"/>
      <c r="L3" s="24" t="s">
        <v>60</v>
      </c>
      <c r="M3" s="24" t="s">
        <v>24</v>
      </c>
      <c r="N3" s="24" t="s">
        <v>4</v>
      </c>
      <c r="O3" s="24" t="s">
        <v>5</v>
      </c>
      <c r="P3" s="24" t="s">
        <v>54</v>
      </c>
      <c r="Q3" s="24" t="s">
        <v>63</v>
      </c>
      <c r="S3" s="25" t="s">
        <v>56</v>
      </c>
    </row>
    <row r="4" spans="2:19" x14ac:dyDescent="0.25">
      <c r="B4" s="30" t="s">
        <v>66</v>
      </c>
      <c r="C4" s="25" t="s">
        <v>12</v>
      </c>
      <c r="D4" s="23">
        <f>'RESP vs Taxable Account 7% Nom'!C33</f>
        <v>50000</v>
      </c>
      <c r="E4" s="23">
        <f>'RESP vs Taxable Account 7% Nom'!I33</f>
        <v>37829.768196540455</v>
      </c>
      <c r="F4" s="23">
        <f>'RESP vs Taxable Account 7% Nom'!K33</f>
        <v>76044.830199424672</v>
      </c>
      <c r="G4" s="23">
        <f>'RESP vs Taxable Account 7% Nom'!R34</f>
        <v>0</v>
      </c>
      <c r="H4" s="23">
        <f>'RESP vs Taxable Account 7% Nom'!S34</f>
        <v>0</v>
      </c>
      <c r="I4" s="23">
        <f>'RESP vs Taxable Account 7% Nom'!R35</f>
        <v>16501.728153275166</v>
      </c>
      <c r="J4" s="23">
        <f>'RESP vs Taxable Account 7% Nom'!S35</f>
        <v>147372.87024268997</v>
      </c>
      <c r="K4" s="22"/>
      <c r="L4" s="23">
        <f>'RESP vs Taxable Account 7% Nom'!W33</f>
        <v>0</v>
      </c>
      <c r="M4" s="23">
        <f>'RESP vs Taxable Account 7% Nom'!X33</f>
        <v>0</v>
      </c>
      <c r="N4" s="23">
        <f>'RESP vs Taxable Account 7% Nom'!AE33</f>
        <v>0</v>
      </c>
      <c r="O4" s="23">
        <f>'RESP vs Taxable Account 7% Nom'!AH33</f>
        <v>0</v>
      </c>
      <c r="P4" s="23">
        <f>'RESP vs Taxable Account 7% Nom'!AS33</f>
        <v>0</v>
      </c>
      <c r="Q4" s="23">
        <f>'RESP vs Taxable Account 7% Nom'!AT33</f>
        <v>0</v>
      </c>
      <c r="S4" s="23">
        <f>Q4+J4</f>
        <v>147372.87024268997</v>
      </c>
    </row>
    <row r="5" spans="2:19" x14ac:dyDescent="0.25">
      <c r="B5" s="30"/>
      <c r="C5" s="25" t="s">
        <v>13</v>
      </c>
      <c r="D5" s="23">
        <f>'RESP vs Taxable Account 7% Nom'!C61</f>
        <v>0</v>
      </c>
      <c r="E5" s="23">
        <f>'RESP vs Taxable Account 7% Nom'!I61</f>
        <v>0</v>
      </c>
      <c r="F5" s="23">
        <f>'RESP vs Taxable Account 7% Nom'!K61</f>
        <v>0</v>
      </c>
      <c r="G5" s="23">
        <f>'RESP vs Taxable Account 7% Nom'!R62</f>
        <v>0</v>
      </c>
      <c r="H5" s="23">
        <f>'RESP vs Taxable Account 7% Nom'!S62</f>
        <v>0</v>
      </c>
      <c r="I5" s="23">
        <f>'RESP vs Taxable Account 7% Nom'!R63</f>
        <v>0</v>
      </c>
      <c r="J5" s="23">
        <f>'RESP vs Taxable Account 7% Nom'!S63</f>
        <v>0</v>
      </c>
      <c r="K5" s="22"/>
      <c r="L5" s="23">
        <f>'RESP vs Taxable Account 7% Nom'!W61</f>
        <v>50000</v>
      </c>
      <c r="M5" s="23">
        <f>'RESP vs Taxable Account 7% Nom'!X61</f>
        <v>500</v>
      </c>
      <c r="N5" s="23">
        <f>'RESP vs Taxable Account 7% Nom'!AE61</f>
        <v>55151.742103154298</v>
      </c>
      <c r="O5" s="23">
        <f>'RESP vs Taxable Account 7% Nom'!AH61</f>
        <v>82727.613154731473</v>
      </c>
      <c r="P5" s="23">
        <f>'RESP vs Taxable Account 7% Nom'!AS61</f>
        <v>14417.709366585077</v>
      </c>
      <c r="Q5" s="23">
        <f>'RESP vs Taxable Account 7% Nom'!AT61</f>
        <v>173961.64589130084</v>
      </c>
      <c r="S5" s="23">
        <f t="shared" ref="S5:S7" si="0">Q5+J5</f>
        <v>173961.64589130084</v>
      </c>
    </row>
    <row r="6" spans="2:19" x14ac:dyDescent="0.25">
      <c r="B6" s="30"/>
      <c r="C6" s="26" t="s">
        <v>34</v>
      </c>
      <c r="D6" s="27">
        <f>'RESP vs Taxable Account 7% Nom'!C89</f>
        <v>33500</v>
      </c>
      <c r="E6" s="27">
        <f>'RESP vs Taxable Account 7% Nom'!I89</f>
        <v>11879.744118829725</v>
      </c>
      <c r="F6" s="27">
        <f>'RESP vs Taxable Account 7% Nom'!K89</f>
        <v>23880.48268325461</v>
      </c>
      <c r="G6" s="27">
        <f>'RESP vs Taxable Account 7% Nom'!R90</f>
        <v>1435.4692283421512</v>
      </c>
      <c r="H6" s="27">
        <f>'RESP vs Taxable Account 7% Nom'!S90</f>
        <v>33500</v>
      </c>
      <c r="I6" s="27">
        <f>'RESP vs Taxable Account 7% Nom'!R91</f>
        <v>3845.0568784734428</v>
      </c>
      <c r="J6" s="27">
        <f>'RESP vs Taxable Account 7% Nom'!S91</f>
        <v>30479.700695268744</v>
      </c>
      <c r="K6" s="28"/>
      <c r="L6" s="27">
        <f>'RESP vs Taxable Account 7% Nom'!W89</f>
        <v>50000</v>
      </c>
      <c r="M6" s="27">
        <f>'RESP vs Taxable Account 7% Nom'!X89</f>
        <v>7200</v>
      </c>
      <c r="N6" s="27">
        <f>'RESP vs Taxable Account 7% Nom'!AE89</f>
        <v>40592.029542169323</v>
      </c>
      <c r="O6" s="27">
        <f>'RESP vs Taxable Account 7% Nom'!AH89</f>
        <v>60888.044313253995</v>
      </c>
      <c r="P6" s="27">
        <f>'RESP vs Taxable Account 7% Nom'!AS89</f>
        <v>8463.0034453913522</v>
      </c>
      <c r="Q6" s="27">
        <f>'RESP vs Taxable Account 7% Nom'!AT89</f>
        <v>150217.07041003209</v>
      </c>
      <c r="R6" s="8"/>
      <c r="S6" s="27">
        <f t="shared" si="0"/>
        <v>180696.77110530084</v>
      </c>
    </row>
    <row r="7" spans="2:19" x14ac:dyDescent="0.25">
      <c r="B7" s="30"/>
      <c r="C7" s="25" t="s">
        <v>50</v>
      </c>
      <c r="D7" s="23">
        <f>'RESP vs Taxable Account 7% Nom'!C117</f>
        <v>2500</v>
      </c>
      <c r="E7" s="23">
        <f>'RESP vs Taxable Account 7% Nom'!I117</f>
        <v>146.11655702164299</v>
      </c>
      <c r="F7" s="23">
        <f>'RESP vs Taxable Account 7% Nom'!K117</f>
        <v>293.72130197328397</v>
      </c>
      <c r="G7" s="23">
        <f>'RESP vs Taxable Account 7% Nom'!R118</f>
        <v>21.598646243631936</v>
      </c>
      <c r="H7" s="23">
        <f>'RESP vs Taxable Account 7% Nom'!S118</f>
        <v>2500</v>
      </c>
      <c r="I7" s="23">
        <f>'RESP vs Taxable Account 7% Nom'!R119</f>
        <v>47.35279356076861</v>
      </c>
      <c r="J7" s="23">
        <f>'RESP vs Taxable Account 7% Nom'!S119</f>
        <v>370.88641919052668</v>
      </c>
      <c r="K7" s="22"/>
      <c r="L7" s="23">
        <f>'RESP vs Taxable Account 7% Nom'!W117</f>
        <v>50000</v>
      </c>
      <c r="M7" s="23">
        <f>'RESP vs Taxable Account 7% Nom'!X117</f>
        <v>1000</v>
      </c>
      <c r="N7" s="23">
        <f>'RESP vs Taxable Account 7% Nom'!AE117</f>
        <v>55404.954209817108</v>
      </c>
      <c r="O7" s="23">
        <f>'RESP vs Taxable Account 7% Nom'!AH117</f>
        <v>83107.431314725676</v>
      </c>
      <c r="P7" s="23">
        <f>'RESP vs Taxable Account 7% Nom'!AS117</f>
        <v>14644.881935049794</v>
      </c>
      <c r="Q7" s="23">
        <f>'RESP vs Taxable Account 7% Nom'!AT117</f>
        <v>174867.50358949305</v>
      </c>
      <c r="S7" s="23">
        <f t="shared" si="0"/>
        <v>175238.39000868358</v>
      </c>
    </row>
    <row r="8" spans="2:19" x14ac:dyDescent="0.25">
      <c r="C8" s="4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S8" s="22"/>
    </row>
    <row r="9" spans="2:19" x14ac:dyDescent="0.25">
      <c r="B9" s="31" t="s">
        <v>57</v>
      </c>
      <c r="C9" s="25" t="s">
        <v>51</v>
      </c>
      <c r="D9" s="23">
        <f>'RESP vs Taxable Account 7% Nom'!C145</f>
        <v>50000</v>
      </c>
      <c r="E9" s="23">
        <f>'RESP vs Taxable Account 7% Nom'!I145</f>
        <v>15808.822146665223</v>
      </c>
      <c r="F9" s="23">
        <f>'RESP vs Taxable Account 7% Nom'!K145</f>
        <v>31778.656151163017</v>
      </c>
      <c r="G9" s="23">
        <f>'RESP vs Taxable Account 7% Nom'!R146</f>
        <v>0</v>
      </c>
      <c r="H9" s="23">
        <f>'RESP vs Taxable Account 7% Nom'!S146</f>
        <v>0</v>
      </c>
      <c r="I9" s="23">
        <f>'RESP vs Taxable Account 7% Nom'!R147</f>
        <v>6943.3351229075524</v>
      </c>
      <c r="J9" s="23">
        <f>'RESP vs Taxable Account 7% Nom'!S147</f>
        <v>90644.143174920697</v>
      </c>
      <c r="K9" s="22"/>
      <c r="L9" s="23">
        <f>'RESP vs Taxable Account 7% Nom'!W145</f>
        <v>0</v>
      </c>
      <c r="M9" s="23">
        <f>'RESP vs Taxable Account 7% Nom'!X145</f>
        <v>0</v>
      </c>
      <c r="N9" s="23">
        <f>'RESP vs Taxable Account 7% Nom'!AE145</f>
        <v>0</v>
      </c>
      <c r="O9" s="23">
        <f>'RESP vs Taxable Account 7% Nom'!AH145</f>
        <v>0</v>
      </c>
      <c r="P9" s="23">
        <f>'RESP vs Taxable Account 7% Nom'!AS145</f>
        <v>0</v>
      </c>
      <c r="Q9" s="23">
        <f>'RESP vs Taxable Account 7% Nom'!AT145</f>
        <v>0</v>
      </c>
      <c r="S9" s="23">
        <f t="shared" ref="S9:S10" si="1">Q9+J9</f>
        <v>90644.143174920697</v>
      </c>
    </row>
    <row r="10" spans="2:19" x14ac:dyDescent="0.25">
      <c r="B10" s="31"/>
      <c r="C10" s="25" t="s">
        <v>52</v>
      </c>
      <c r="D10" s="23">
        <f>'RESP vs Taxable Account 7% Nom'!C173</f>
        <v>0</v>
      </c>
      <c r="E10" s="23">
        <f>'RESP vs Taxable Account 7% Nom'!I173</f>
        <v>0</v>
      </c>
      <c r="F10" s="23">
        <f>'RESP vs Taxable Account 7% Nom'!K173</f>
        <v>0</v>
      </c>
      <c r="G10" s="23">
        <f>'RESP vs Taxable Account 7% Nom'!R174</f>
        <v>0</v>
      </c>
      <c r="H10" s="23">
        <f>'RESP vs Taxable Account 7% Nom'!S174</f>
        <v>0</v>
      </c>
      <c r="I10" s="23">
        <f>'RESP vs Taxable Account 7% Nom'!R175</f>
        <v>0</v>
      </c>
      <c r="J10" s="23">
        <f>'RESP vs Taxable Account 7% Nom'!S175</f>
        <v>0</v>
      </c>
      <c r="K10" s="22"/>
      <c r="L10" s="23">
        <f>'RESP vs Taxable Account 7% Nom'!W173</f>
        <v>50000</v>
      </c>
      <c r="M10" s="23">
        <f>'RESP vs Taxable Account 7% Nom'!X173</f>
        <v>7200</v>
      </c>
      <c r="N10" s="23">
        <f>'RESP vs Taxable Account 7% Nom'!AE173</f>
        <v>26502.065485620733</v>
      </c>
      <c r="O10" s="23">
        <f>'RESP vs Taxable Account 7% Nom'!AH173</f>
        <v>39753.098228431096</v>
      </c>
      <c r="P10" s="23">
        <f>'RESP vs Taxable Account 7% Nom'!AS173</f>
        <v>1400.4089620463351</v>
      </c>
      <c r="Q10" s="23">
        <f>'RESP vs Taxable Account 7% Nom'!AT173</f>
        <v>122054.75475200539</v>
      </c>
      <c r="S10" s="23">
        <f t="shared" si="1"/>
        <v>122054.75475200539</v>
      </c>
    </row>
    <row r="14" spans="2:19" ht="18.75" x14ac:dyDescent="0.3">
      <c r="B14" s="29" t="s">
        <v>59</v>
      </c>
      <c r="D14" s="32" t="s">
        <v>53</v>
      </c>
      <c r="E14" s="32"/>
      <c r="F14" s="32"/>
      <c r="G14" s="32"/>
      <c r="H14" s="32"/>
      <c r="I14" s="32"/>
      <c r="J14" s="32"/>
      <c r="K14" s="4"/>
      <c r="L14" s="32" t="s">
        <v>55</v>
      </c>
      <c r="M14" s="32"/>
      <c r="N14" s="32"/>
      <c r="O14" s="32"/>
      <c r="P14" s="32"/>
      <c r="Q14" s="32"/>
    </row>
    <row r="15" spans="2:19" ht="60" x14ac:dyDescent="0.25">
      <c r="C15" s="25" t="s">
        <v>49</v>
      </c>
      <c r="D15" s="24" t="s">
        <v>60</v>
      </c>
      <c r="E15" s="24" t="s">
        <v>6</v>
      </c>
      <c r="F15" s="24" t="s">
        <v>5</v>
      </c>
      <c r="G15" s="24" t="s">
        <v>64</v>
      </c>
      <c r="H15" s="24" t="s">
        <v>61</v>
      </c>
      <c r="I15" s="24" t="s">
        <v>65</v>
      </c>
      <c r="J15" s="24" t="s">
        <v>63</v>
      </c>
      <c r="K15" s="21"/>
      <c r="L15" s="24" t="s">
        <v>60</v>
      </c>
      <c r="M15" s="24" t="s">
        <v>24</v>
      </c>
      <c r="N15" s="24" t="s">
        <v>4</v>
      </c>
      <c r="O15" s="24" t="s">
        <v>5</v>
      </c>
      <c r="P15" s="24" t="s">
        <v>54</v>
      </c>
      <c r="Q15" s="24" t="s">
        <v>63</v>
      </c>
      <c r="S15" s="25" t="s">
        <v>56</v>
      </c>
    </row>
    <row r="16" spans="2:19" ht="15" customHeight="1" x14ac:dyDescent="0.25">
      <c r="B16" s="30" t="s">
        <v>66</v>
      </c>
      <c r="C16" s="25" t="s">
        <v>12</v>
      </c>
      <c r="D16" s="23">
        <f>'RESP vs Taxable Account 5% Real'!C33</f>
        <v>50000</v>
      </c>
      <c r="E16" s="23">
        <f>'RESP vs Taxable Account 5% Real'!I33</f>
        <v>30826.180567284755</v>
      </c>
      <c r="F16" s="23">
        <f>'RESP vs Taxable Account 5% Real'!K33</f>
        <v>32458.550583923537</v>
      </c>
      <c r="G16" s="23">
        <f>'RESP vs Taxable Account 5% Real'!R34</f>
        <v>0</v>
      </c>
      <c r="H16" s="23">
        <f>'RESP vs Taxable Account 5% Real'!S34</f>
        <v>0</v>
      </c>
      <c r="I16" s="23">
        <f>'RESP vs Taxable Account 5% Real'!R35</f>
        <v>7043.5054767114152</v>
      </c>
      <c r="J16" s="23">
        <f>'RESP vs Taxable Account 5% Real'!S35</f>
        <v>106241.22567449696</v>
      </c>
      <c r="K16" s="22"/>
      <c r="L16" s="23">
        <f>'RESP vs Taxable Account 5% Real'!W33</f>
        <v>0</v>
      </c>
      <c r="M16" s="23">
        <f>'RESP vs Taxable Account 5% Real'!X33</f>
        <v>0</v>
      </c>
      <c r="N16" s="23">
        <f>'RESP vs Taxable Account 5% Real'!AE33</f>
        <v>0</v>
      </c>
      <c r="O16" s="23">
        <f>'RESP vs Taxable Account 5% Real'!AH33</f>
        <v>0</v>
      </c>
      <c r="P16" s="23">
        <f>'RESP vs Taxable Account 5% Real'!AS33</f>
        <v>0</v>
      </c>
      <c r="Q16" s="23">
        <f>'RESP vs Taxable Account 5% Real'!AT33</f>
        <v>0</v>
      </c>
      <c r="S16" s="23">
        <f t="shared" ref="S16:S19" si="2">Q16+J16</f>
        <v>106241.22567449696</v>
      </c>
    </row>
    <row r="17" spans="2:19" x14ac:dyDescent="0.25">
      <c r="B17" s="30"/>
      <c r="C17" s="25" t="s">
        <v>13</v>
      </c>
      <c r="D17" s="23">
        <f>'RESP vs Taxable Account 5% Real'!C61</f>
        <v>0</v>
      </c>
      <c r="E17" s="23">
        <f>'RESP vs Taxable Account 5% Real'!I61</f>
        <v>0</v>
      </c>
      <c r="F17" s="23">
        <f>'RESP vs Taxable Account 5% Real'!K61</f>
        <v>0</v>
      </c>
      <c r="G17" s="23">
        <f>'RESP vs Taxable Account 5% Real'!R62</f>
        <v>0</v>
      </c>
      <c r="H17" s="23">
        <f>'RESP vs Taxable Account 5% Real'!S62</f>
        <v>0</v>
      </c>
      <c r="I17" s="23">
        <f>'RESP vs Taxable Account 5% Real'!R63</f>
        <v>0</v>
      </c>
      <c r="J17" s="23">
        <f>'RESP vs Taxable Account 5% Real'!S63</f>
        <v>0</v>
      </c>
      <c r="K17" s="22"/>
      <c r="L17" s="23">
        <f>'RESP vs Taxable Account 5% Real'!W61</f>
        <v>50000</v>
      </c>
      <c r="M17" s="23">
        <f>'RESP vs Taxable Account 5% Real'!X61</f>
        <v>500</v>
      </c>
      <c r="N17" s="23">
        <f>'RESP vs Taxable Account 5% Real'!AE61</f>
        <v>44838.08549084625</v>
      </c>
      <c r="O17" s="23">
        <f>'RESP vs Taxable Account 5% Real'!AH61</f>
        <v>35229.924314236341</v>
      </c>
      <c r="P17" s="23">
        <f>'RESP vs Taxable Account 5% Real'!AS61</f>
        <v>6822.6159659190553</v>
      </c>
      <c r="Q17" s="23">
        <f>'RESP vs Taxable Account 5% Real'!AT61</f>
        <v>123745.39383916349</v>
      </c>
      <c r="S17" s="23">
        <f t="shared" si="2"/>
        <v>123745.39383916349</v>
      </c>
    </row>
    <row r="18" spans="2:19" x14ac:dyDescent="0.25">
      <c r="B18" s="30"/>
      <c r="C18" s="26" t="s">
        <v>34</v>
      </c>
      <c r="D18" s="27">
        <f>'RESP vs Taxable Account 5% Real'!C89</f>
        <v>33500</v>
      </c>
      <c r="E18" s="27">
        <f>'RESP vs Taxable Account 5% Real'!I89</f>
        <v>9066.4370427143313</v>
      </c>
      <c r="F18" s="27">
        <f>'RESP vs Taxable Account 5% Real'!K89</f>
        <v>9546.5412824843661</v>
      </c>
      <c r="G18" s="27">
        <f>'RESP vs Taxable Account 5% Real'!R90</f>
        <v>861.97557612302671</v>
      </c>
      <c r="H18" s="27">
        <f>'RESP vs Taxable Account 5% Real'!S90</f>
        <v>33500</v>
      </c>
      <c r="I18" s="27">
        <f>'RESP vs Taxable Account 5% Real'!R91</f>
        <v>1249.4828993733627</v>
      </c>
      <c r="J18" s="27">
        <f>'RESP vs Taxable Account 5% Real'!S91</f>
        <v>16501.519849702316</v>
      </c>
      <c r="K18" s="28"/>
      <c r="L18" s="27">
        <f>'RESP vs Taxable Account 5% Real'!W89</f>
        <v>50000</v>
      </c>
      <c r="M18" s="27">
        <f>'RESP vs Taxable Account 5% Real'!X89</f>
        <v>7200</v>
      </c>
      <c r="N18" s="27">
        <f>'RESP vs Taxable Account 5% Real'!AE89</f>
        <v>34261.924627087414</v>
      </c>
      <c r="O18" s="27">
        <f>'RESP vs Taxable Account 5% Real'!AH89</f>
        <v>26920.083635568681</v>
      </c>
      <c r="P18" s="27">
        <f>'RESP vs Taxable Account 5% Real'!AS89</f>
        <v>4379.3226566625544</v>
      </c>
      <c r="Q18" s="27">
        <f>'RESP vs Taxable Account 5% Real'!AT89</f>
        <v>114002.68560599358</v>
      </c>
      <c r="R18" s="8"/>
      <c r="S18" s="27">
        <f t="shared" si="2"/>
        <v>130504.20545569589</v>
      </c>
    </row>
    <row r="19" spans="2:19" x14ac:dyDescent="0.25">
      <c r="B19" s="30"/>
      <c r="C19" s="25" t="s">
        <v>50</v>
      </c>
      <c r="D19" s="23">
        <f>'RESP vs Taxable Account 5% Real'!C117</f>
        <v>2500</v>
      </c>
      <c r="E19" s="23">
        <f>'RESP vs Taxable Account 5% Real'!I117</f>
        <v>106.91775852294845</v>
      </c>
      <c r="F19" s="23">
        <f>'RESP vs Taxable Account 5% Real'!K117</f>
        <v>112.57948307160406</v>
      </c>
      <c r="G19" s="23">
        <f>'RESP vs Taxable Account 5% Real'!R118</f>
        <v>11.487746954953982</v>
      </c>
      <c r="H19" s="23">
        <f>'RESP vs Taxable Account 5% Real'!S118</f>
        <v>2500.0000000000005</v>
      </c>
      <c r="I19" s="23">
        <f>'RESP vs Taxable Account 5% Real'!R119</f>
        <v>14.766925570849928</v>
      </c>
      <c r="J19" s="23">
        <f>'RESP vs Taxable Account 5% Real'!S119</f>
        <v>193.24256906874834</v>
      </c>
      <c r="K19" s="22"/>
      <c r="L19" s="23">
        <f>'RESP vs Taxable Account 5% Real'!W117</f>
        <v>50000</v>
      </c>
      <c r="M19" s="23">
        <f>'RESP vs Taxable Account 5% Real'!X117</f>
        <v>1000</v>
      </c>
      <c r="N19" s="23">
        <f>'RESP vs Taxable Account 5% Real'!AE117</f>
        <v>45075.186519777271</v>
      </c>
      <c r="O19" s="23">
        <f>'RESP vs Taxable Account 5% Real'!AH117</f>
        <v>35416.217979825</v>
      </c>
      <c r="P19" s="23">
        <f>'RESP vs Taxable Account 5% Real'!AS117</f>
        <v>7007.7566021702623</v>
      </c>
      <c r="Q19" s="23">
        <f>'RESP vs Taxable Account 5% Real'!AT117</f>
        <v>124483.64789743205</v>
      </c>
      <c r="S19" s="23">
        <f t="shared" si="2"/>
        <v>124676.8904665008</v>
      </c>
    </row>
    <row r="20" spans="2:19" x14ac:dyDescent="0.25">
      <c r="C20" s="4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S20" s="22"/>
    </row>
    <row r="21" spans="2:19" x14ac:dyDescent="0.25">
      <c r="B21" s="31" t="s">
        <v>57</v>
      </c>
      <c r="C21" s="25" t="s">
        <v>51</v>
      </c>
      <c r="D21" s="23">
        <f>'RESP vs Taxable Account 5% Real'!C145</f>
        <v>50000</v>
      </c>
      <c r="E21" s="23">
        <f>'RESP vs Taxable Account 5% Real'!I145</f>
        <v>13766.679665825231</v>
      </c>
      <c r="F21" s="23">
        <f>'RESP vs Taxable Account 5% Real'!K145</f>
        <v>14495.680622207527</v>
      </c>
      <c r="G21" s="23">
        <f>'RESP vs Taxable Account 5% Real'!R146</f>
        <v>0</v>
      </c>
      <c r="H21" s="23">
        <f>'RESP vs Taxable Account 5% Real'!S146</f>
        <v>0</v>
      </c>
      <c r="I21" s="23">
        <f>'RESP vs Taxable Account 5% Real'!R147</f>
        <v>3171.7517129403541</v>
      </c>
      <c r="J21" s="23">
        <f>'RESP vs Taxable Account 5% Real'!S147</f>
        <v>75090.60857509241</v>
      </c>
      <c r="K21" s="22"/>
      <c r="L21" s="23">
        <f>'RESP vs Taxable Account 5% Real'!W145</f>
        <v>0</v>
      </c>
      <c r="M21" s="23">
        <f>'RESP vs Taxable Account 5% Real'!X145</f>
        <v>0</v>
      </c>
      <c r="N21" s="23">
        <f>'RESP vs Taxable Account 5% Real'!AE145</f>
        <v>0</v>
      </c>
      <c r="O21" s="23">
        <f>'RESP vs Taxable Account 5% Real'!AH145</f>
        <v>0</v>
      </c>
      <c r="P21" s="23">
        <f>'RESP vs Taxable Account 5% Real'!AS145</f>
        <v>0</v>
      </c>
      <c r="Q21" s="23">
        <f>'RESP vs Taxable Account 5% Real'!AT145</f>
        <v>0</v>
      </c>
      <c r="S21" s="23">
        <f t="shared" ref="S21:S22" si="3">Q21+J21</f>
        <v>75090.60857509241</v>
      </c>
    </row>
    <row r="22" spans="2:19" x14ac:dyDescent="0.25">
      <c r="B22" s="31"/>
      <c r="C22" s="25" t="s">
        <v>52</v>
      </c>
      <c r="D22" s="23">
        <f>'RESP vs Taxable Account 5% Real'!C173</f>
        <v>0</v>
      </c>
      <c r="E22" s="23">
        <f>'RESP vs Taxable Account 5% Real'!I173</f>
        <v>0</v>
      </c>
      <c r="F22" s="23">
        <f>'RESP vs Taxable Account 5% Real'!K173</f>
        <v>0</v>
      </c>
      <c r="G22" s="23">
        <f>'RESP vs Taxable Account 5% Real'!R174</f>
        <v>0</v>
      </c>
      <c r="H22" s="23">
        <f>'RESP vs Taxable Account 5% Real'!S174</f>
        <v>0</v>
      </c>
      <c r="I22" s="23">
        <f>'RESP vs Taxable Account 5% Real'!R175</f>
        <v>0</v>
      </c>
      <c r="J22" s="23">
        <f>'RESP vs Taxable Account 5% Real'!S175</f>
        <v>0</v>
      </c>
      <c r="K22" s="22"/>
      <c r="L22" s="23">
        <f>'RESP vs Taxable Account 5% Real'!W173</f>
        <v>50000</v>
      </c>
      <c r="M22" s="23">
        <f>'RESP vs Taxable Account 5% Real'!X173</f>
        <v>7200</v>
      </c>
      <c r="N22" s="23">
        <f>'RESP vs Taxable Account 5% Real'!AE173</f>
        <v>23003.624211816277</v>
      </c>
      <c r="O22" s="23">
        <f>'RESP vs Taxable Account 5% Real'!AH173</f>
        <v>18074.276166427077</v>
      </c>
      <c r="P22" s="23">
        <f>'RESP vs Taxable Account 5% Real'!AS173</f>
        <v>348.44902583779356</v>
      </c>
      <c r="Q22" s="23">
        <f>'RESP vs Taxable Account 5% Real'!AT173</f>
        <v>97929.451352405522</v>
      </c>
      <c r="S22" s="23">
        <f t="shared" si="3"/>
        <v>97929.451352405522</v>
      </c>
    </row>
  </sheetData>
  <mergeCells count="8">
    <mergeCell ref="B16:B19"/>
    <mergeCell ref="B21:B22"/>
    <mergeCell ref="D2:J2"/>
    <mergeCell ref="L2:Q2"/>
    <mergeCell ref="B9:B10"/>
    <mergeCell ref="B4:B7"/>
    <mergeCell ref="D14:J14"/>
    <mergeCell ref="L14:Q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184"/>
  <sheetViews>
    <sheetView topLeftCell="A121" zoomScale="80" zoomScaleNormal="80" zoomScalePageLayoutView="80" workbookViewId="0">
      <selection activeCell="G150" sqref="G150"/>
    </sheetView>
  </sheetViews>
  <sheetFormatPr defaultColWidth="8.85546875" defaultRowHeight="15" x14ac:dyDescent="0.25"/>
  <cols>
    <col min="1" max="1" width="10.42578125" style="1" customWidth="1"/>
    <col min="2" max="3" width="11" style="1" customWidth="1"/>
    <col min="4" max="19" width="13.7109375" style="1" customWidth="1"/>
    <col min="20" max="21" width="11" style="1" customWidth="1"/>
    <col min="22" max="46" width="13.7109375" style="1" customWidth="1"/>
    <col min="47" max="16384" width="8.85546875" style="1"/>
  </cols>
  <sheetData>
    <row r="1" spans="1:32" x14ac:dyDescent="0.25">
      <c r="N1" s="4"/>
    </row>
    <row r="2" spans="1:32" x14ac:dyDescent="0.25">
      <c r="D2" s="7" t="s">
        <v>0</v>
      </c>
      <c r="E2" s="2">
        <v>2.8000000000000001E-2</v>
      </c>
      <c r="F2" s="2"/>
      <c r="G2" s="2"/>
      <c r="I2" s="7" t="s">
        <v>15</v>
      </c>
      <c r="J2" s="15" t="str">
        <f>"over $"&amp;ROUND((91831*(1+2%)^17),0)&amp;" up to $"&amp;ROUND((142353*(1+2%)^17),0)</f>
        <v>over $128586 up to $199329</v>
      </c>
      <c r="N2" s="2"/>
      <c r="AE2" s="7" t="s">
        <v>16</v>
      </c>
      <c r="AF2" s="15" t="str">
        <f>"first $"&amp;ROUND((42201*(1+2%)^17),0)</f>
        <v>first $59092</v>
      </c>
    </row>
    <row r="3" spans="1:32" x14ac:dyDescent="0.25">
      <c r="D3" s="7" t="s">
        <v>1</v>
      </c>
      <c r="E3" s="2">
        <f>E4-E2</f>
        <v>4.200000000000001E-2</v>
      </c>
      <c r="F3" s="2"/>
      <c r="G3" s="2"/>
      <c r="I3" s="7" t="s">
        <v>7</v>
      </c>
      <c r="J3" s="2">
        <v>0.25380000000000003</v>
      </c>
      <c r="N3" s="2"/>
      <c r="AE3" s="7" t="s">
        <v>7</v>
      </c>
      <c r="AF3" s="14">
        <v>-6.8599999999999994E-2</v>
      </c>
    </row>
    <row r="4" spans="1:32" x14ac:dyDescent="0.25">
      <c r="D4" s="7" t="s">
        <v>2</v>
      </c>
      <c r="E4" s="2">
        <v>7.0000000000000007E-2</v>
      </c>
      <c r="F4" s="2"/>
      <c r="G4" s="2"/>
      <c r="I4" s="7" t="s">
        <v>8</v>
      </c>
      <c r="J4" s="2">
        <v>0.217</v>
      </c>
      <c r="N4" s="2"/>
      <c r="AE4" s="7" t="s">
        <v>8</v>
      </c>
      <c r="AF4" s="14">
        <v>0.1003</v>
      </c>
    </row>
    <row r="5" spans="1:32" x14ac:dyDescent="0.25">
      <c r="D5" s="7" t="s">
        <v>3</v>
      </c>
      <c r="E5" s="2">
        <f>E4-2%</f>
        <v>0.05</v>
      </c>
      <c r="F5" s="2"/>
      <c r="G5" s="2"/>
      <c r="I5" s="7" t="s">
        <v>10</v>
      </c>
      <c r="J5" s="2">
        <v>0.43409999999999999</v>
      </c>
      <c r="AE5" s="7" t="s">
        <v>10</v>
      </c>
      <c r="AF5" s="14">
        <v>0.20050000000000001</v>
      </c>
    </row>
    <row r="6" spans="1:32" x14ac:dyDescent="0.25">
      <c r="I6" s="7" t="s">
        <v>33</v>
      </c>
      <c r="J6" s="3">
        <f>11635*(1.02)^18</f>
        <v>16617.645090549933</v>
      </c>
      <c r="AE6" s="7" t="s">
        <v>33</v>
      </c>
      <c r="AF6" s="3">
        <f>11635*(1.02)^18</f>
        <v>16617.645090549933</v>
      </c>
    </row>
    <row r="8" spans="1:32" x14ac:dyDescent="0.25">
      <c r="J8" s="3"/>
    </row>
    <row r="9" spans="1:32" x14ac:dyDescent="0.25">
      <c r="B9" s="9"/>
      <c r="C9" s="9"/>
      <c r="D9" s="9"/>
      <c r="E9" s="9"/>
      <c r="F9" s="9"/>
      <c r="G9" s="9"/>
      <c r="H9" s="18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32" ht="81.75" customHeight="1" x14ac:dyDescent="0.25">
      <c r="A10" s="19" t="s">
        <v>12</v>
      </c>
      <c r="C10" s="10" t="s">
        <v>23</v>
      </c>
      <c r="D10" s="10" t="s">
        <v>22</v>
      </c>
      <c r="E10" s="10" t="s">
        <v>29</v>
      </c>
      <c r="F10" s="10" t="s">
        <v>9</v>
      </c>
      <c r="G10" s="10" t="s">
        <v>11</v>
      </c>
      <c r="H10" s="10" t="s">
        <v>4</v>
      </c>
      <c r="I10" s="10" t="s">
        <v>6</v>
      </c>
      <c r="J10" s="10" t="s">
        <v>32</v>
      </c>
      <c r="K10" s="10" t="s">
        <v>5</v>
      </c>
      <c r="L10" s="10" t="s">
        <v>46</v>
      </c>
      <c r="M10" s="10" t="s">
        <v>19</v>
      </c>
      <c r="N10" s="10" t="s">
        <v>30</v>
      </c>
      <c r="O10" s="10" t="s">
        <v>18</v>
      </c>
      <c r="P10" s="10" t="s">
        <v>17</v>
      </c>
      <c r="Q10" s="10" t="s">
        <v>14</v>
      </c>
      <c r="R10" s="10" t="s">
        <v>54</v>
      </c>
      <c r="S10" s="10" t="s">
        <v>20</v>
      </c>
    </row>
    <row r="11" spans="1:32" x14ac:dyDescent="0.25">
      <c r="B11" s="1">
        <v>0</v>
      </c>
      <c r="C11" s="3">
        <v>50000</v>
      </c>
      <c r="D11" s="3">
        <f>C11</f>
        <v>50000</v>
      </c>
      <c r="E11" s="6">
        <v>22.56</v>
      </c>
      <c r="F11" s="6">
        <v>22.56</v>
      </c>
      <c r="G11" s="5">
        <f>D11/E11</f>
        <v>2216.3120567375886</v>
      </c>
      <c r="H11" s="3">
        <f>D11*$E$2</f>
        <v>1400</v>
      </c>
      <c r="I11" s="3">
        <f>H11*(1-$J$3)</f>
        <v>1044.68</v>
      </c>
      <c r="J11" s="3">
        <f>I11-N12</f>
        <v>1044.68</v>
      </c>
      <c r="K11" s="3">
        <f>D11*$E$3</f>
        <v>2100.0000000000005</v>
      </c>
      <c r="L11" s="3">
        <f>D11+I11+K11</f>
        <v>53144.68</v>
      </c>
      <c r="M11" s="3"/>
    </row>
    <row r="12" spans="1:32" x14ac:dyDescent="0.25">
      <c r="B12" s="1">
        <f>B11+1</f>
        <v>1</v>
      </c>
      <c r="D12" s="3">
        <f>D11+I11+K11-N12-O12+C12</f>
        <v>53144.68</v>
      </c>
      <c r="E12" s="6">
        <f>E11*(1+$E$3)</f>
        <v>23.50752</v>
      </c>
      <c r="F12" s="6">
        <f>(F11*G11+J11+C12)/G12</f>
        <v>22.578625668525991</v>
      </c>
      <c r="G12" s="5">
        <f>G11+(J11+C12)/E12</f>
        <v>2260.7523039435891</v>
      </c>
      <c r="H12" s="3">
        <f t="shared" ref="H12:H32" si="0">D12*$E$2</f>
        <v>1488.0510400000001</v>
      </c>
      <c r="I12" s="3">
        <f>H12*(1-$J$3)</f>
        <v>1110.3836860480001</v>
      </c>
      <c r="J12" s="3">
        <f t="shared" ref="J12:J32" si="1">I12-N13</f>
        <v>1110.3836860480001</v>
      </c>
      <c r="K12" s="3">
        <f>D12*$E$3</f>
        <v>2232.0765600000004</v>
      </c>
      <c r="L12" s="3">
        <f t="shared" ref="L12:L32" si="2">D12+I12+K12</f>
        <v>56487.140246048002</v>
      </c>
    </row>
    <row r="13" spans="1:32" x14ac:dyDescent="0.25">
      <c r="B13" s="1">
        <f t="shared" ref="B13:B32" si="3">B12+1</f>
        <v>2</v>
      </c>
      <c r="D13" s="3">
        <f t="shared" ref="D13:D32" si="4">D12+I12+K12-N13-O13+C13</f>
        <v>56487.140246048002</v>
      </c>
      <c r="E13" s="6">
        <f t="shared" ref="E13:E32" si="5">E12*(1+$E$3)</f>
        <v>24.49483584</v>
      </c>
      <c r="F13" s="6">
        <f t="shared" ref="F13:F14" si="6">(F12*G12+J12+C13)/G13</f>
        <v>22.616293153623943</v>
      </c>
      <c r="G13" s="5">
        <f t="shared" ref="G13:G14" si="7">G12+(J12+C13)/E13</f>
        <v>2306.0836420795545</v>
      </c>
      <c r="H13" s="3">
        <f t="shared" si="0"/>
        <v>1581.639926889344</v>
      </c>
      <c r="I13" s="3">
        <f>H13*(1-$J$3)</f>
        <v>1180.2197134448284</v>
      </c>
      <c r="J13" s="3">
        <f t="shared" si="1"/>
        <v>1180.2197134448284</v>
      </c>
      <c r="K13" s="3">
        <f t="shared" ref="K13:K32" si="8">D13*$E$3</f>
        <v>2372.4598903340166</v>
      </c>
      <c r="L13" s="3">
        <f t="shared" si="2"/>
        <v>60039.819849826847</v>
      </c>
    </row>
    <row r="14" spans="1:32" x14ac:dyDescent="0.25">
      <c r="B14" s="1">
        <f t="shared" si="3"/>
        <v>3</v>
      </c>
      <c r="D14" s="3">
        <f t="shared" si="4"/>
        <v>60039.819849826847</v>
      </c>
      <c r="E14" s="6">
        <f t="shared" si="5"/>
        <v>25.523618945280003</v>
      </c>
      <c r="F14" s="6">
        <f t="shared" si="6"/>
        <v>22.673443278679304</v>
      </c>
      <c r="G14" s="5">
        <f t="shared" si="7"/>
        <v>2352.3239388013908</v>
      </c>
      <c r="H14" s="3">
        <f t="shared" si="0"/>
        <v>1681.1149557951517</v>
      </c>
      <c r="I14" s="3">
        <f t="shared" ref="I14:I32" si="9">H14*(1-$J$3)</f>
        <v>1254.4479800143422</v>
      </c>
      <c r="J14" s="3">
        <f t="shared" si="1"/>
        <v>1254.4479800143422</v>
      </c>
      <c r="K14" s="3">
        <f t="shared" si="8"/>
        <v>2521.6724336927282</v>
      </c>
      <c r="L14" s="3">
        <f t="shared" si="2"/>
        <v>63815.940263533921</v>
      </c>
    </row>
    <row r="15" spans="1:32" x14ac:dyDescent="0.25">
      <c r="B15" s="1">
        <f t="shared" si="3"/>
        <v>4</v>
      </c>
      <c r="D15" s="3">
        <f t="shared" si="4"/>
        <v>63815.940263533921</v>
      </c>
      <c r="E15" s="6">
        <f t="shared" si="5"/>
        <v>26.595610940981764</v>
      </c>
      <c r="F15" s="6">
        <f>(F14*G14+J14+C15)/G15</f>
        <v>22.750542437305423</v>
      </c>
      <c r="G15" s="5">
        <f>G14+(J14+C15)/E15</f>
        <v>2399.4914200372264</v>
      </c>
      <c r="H15" s="3">
        <f t="shared" si="0"/>
        <v>1786.8463273789498</v>
      </c>
      <c r="I15" s="3">
        <f t="shared" si="9"/>
        <v>1333.3447294901723</v>
      </c>
      <c r="J15" s="3">
        <f t="shared" si="1"/>
        <v>1333.3447294901723</v>
      </c>
      <c r="K15" s="3">
        <f t="shared" si="8"/>
        <v>2680.2694910684254</v>
      </c>
      <c r="L15" s="3">
        <f t="shared" si="2"/>
        <v>67829.554484092514</v>
      </c>
    </row>
    <row r="16" spans="1:32" x14ac:dyDescent="0.25">
      <c r="B16" s="1">
        <f t="shared" si="3"/>
        <v>5</v>
      </c>
      <c r="D16" s="3">
        <f t="shared" si="4"/>
        <v>67829.554484092514</v>
      </c>
      <c r="E16" s="6">
        <f t="shared" si="5"/>
        <v>27.712626600503</v>
      </c>
      <c r="F16" s="6">
        <f t="shared" ref="F16:F32" si="10">(F15*G15+J15+C16)/G16</f>
        <v>22.84808352859827</v>
      </c>
      <c r="G16" s="5">
        <f t="shared" ref="G16:G32" si="11">G15+(J15+C16)/E16</f>
        <v>2447.6046771712859</v>
      </c>
      <c r="H16" s="3">
        <f t="shared" si="0"/>
        <v>1899.2275255545903</v>
      </c>
      <c r="I16" s="3">
        <f t="shared" si="9"/>
        <v>1417.2035795688353</v>
      </c>
      <c r="J16" s="3">
        <f t="shared" si="1"/>
        <v>1417.2035795688353</v>
      </c>
      <c r="K16" s="3">
        <f t="shared" si="8"/>
        <v>2848.8412883318861</v>
      </c>
      <c r="L16" s="3">
        <f t="shared" si="2"/>
        <v>72095.599351993224</v>
      </c>
    </row>
    <row r="17" spans="1:19" x14ac:dyDescent="0.25">
      <c r="B17" s="1">
        <f t="shared" si="3"/>
        <v>6</v>
      </c>
      <c r="D17" s="3">
        <f t="shared" si="4"/>
        <v>72095.599351993224</v>
      </c>
      <c r="E17" s="6">
        <f t="shared" si="5"/>
        <v>28.876556917724127</v>
      </c>
      <c r="F17" s="6">
        <f t="shared" si="10"/>
        <v>22.966586934398286</v>
      </c>
      <c r="G17" s="5">
        <f t="shared" si="11"/>
        <v>2496.6826743718098</v>
      </c>
      <c r="H17" s="3">
        <f t="shared" si="0"/>
        <v>2018.6767818558103</v>
      </c>
      <c r="I17" s="3">
        <f t="shared" si="9"/>
        <v>1506.3366146208057</v>
      </c>
      <c r="J17" s="3">
        <f t="shared" si="1"/>
        <v>1506.3366146208057</v>
      </c>
      <c r="K17" s="3">
        <f t="shared" si="8"/>
        <v>3028.015172783716</v>
      </c>
      <c r="L17" s="3">
        <f t="shared" si="2"/>
        <v>76629.951139397745</v>
      </c>
    </row>
    <row r="18" spans="1:19" x14ac:dyDescent="0.25">
      <c r="B18" s="1">
        <f t="shared" si="3"/>
        <v>7</v>
      </c>
      <c r="D18" s="3">
        <f t="shared" si="4"/>
        <v>76629.951139397745</v>
      </c>
      <c r="E18" s="6">
        <f t="shared" si="5"/>
        <v>30.08937230826854</v>
      </c>
      <c r="F18" s="6">
        <f t="shared" si="10"/>
        <v>23.106601540269935</v>
      </c>
      <c r="G18" s="5">
        <f t="shared" si="11"/>
        <v>2546.744756065912</v>
      </c>
      <c r="H18" s="3">
        <f t="shared" si="0"/>
        <v>2145.6386319031367</v>
      </c>
      <c r="I18" s="3">
        <f t="shared" si="9"/>
        <v>1601.0755471261205</v>
      </c>
      <c r="J18" s="3">
        <f t="shared" si="1"/>
        <v>1601.0755471261205</v>
      </c>
      <c r="K18" s="3">
        <f t="shared" si="8"/>
        <v>3218.4579478547062</v>
      </c>
      <c r="L18" s="3">
        <f t="shared" si="2"/>
        <v>81449.484634378576</v>
      </c>
    </row>
    <row r="19" spans="1:19" x14ac:dyDescent="0.25">
      <c r="B19" s="1">
        <f t="shared" si="3"/>
        <v>8</v>
      </c>
      <c r="D19" s="3">
        <f t="shared" si="4"/>
        <v>81449.484634378576</v>
      </c>
      <c r="E19" s="6">
        <f t="shared" si="5"/>
        <v>31.353125945215819</v>
      </c>
      <c r="F19" s="6">
        <f t="shared" si="10"/>
        <v>23.268705801982655</v>
      </c>
      <c r="G19" s="5">
        <f t="shared" si="11"/>
        <v>2597.8106545643177</v>
      </c>
      <c r="H19" s="3">
        <f t="shared" si="0"/>
        <v>2280.5855697626002</v>
      </c>
      <c r="I19" s="3">
        <f t="shared" si="9"/>
        <v>1701.7729521568522</v>
      </c>
      <c r="J19" s="3">
        <f t="shared" si="1"/>
        <v>1701.7729521568522</v>
      </c>
      <c r="K19" s="3">
        <f t="shared" si="8"/>
        <v>3420.8783546439008</v>
      </c>
      <c r="L19" s="3">
        <f t="shared" si="2"/>
        <v>86572.135941179324</v>
      </c>
    </row>
    <row r="20" spans="1:19" x14ac:dyDescent="0.25">
      <c r="B20" s="1">
        <f t="shared" si="3"/>
        <v>9</v>
      </c>
      <c r="D20" s="3">
        <f t="shared" si="4"/>
        <v>86572.135941179324</v>
      </c>
      <c r="E20" s="6">
        <f t="shared" si="5"/>
        <v>32.669957234914882</v>
      </c>
      <c r="F20" s="6">
        <f t="shared" si="10"/>
        <v>23.453508859352759</v>
      </c>
      <c r="G20" s="5">
        <f t="shared" si="11"/>
        <v>2649.9004978389867</v>
      </c>
      <c r="H20" s="3">
        <f t="shared" si="0"/>
        <v>2424.0198063530211</v>
      </c>
      <c r="I20" s="3">
        <f t="shared" si="9"/>
        <v>1808.8035795006242</v>
      </c>
      <c r="J20" s="3">
        <f t="shared" si="1"/>
        <v>1808.8035795006242</v>
      </c>
      <c r="K20" s="3">
        <f t="shared" si="8"/>
        <v>3636.0297095295323</v>
      </c>
      <c r="L20" s="3">
        <f t="shared" si="2"/>
        <v>92016.969230209492</v>
      </c>
    </row>
    <row r="21" spans="1:19" x14ac:dyDescent="0.25">
      <c r="B21" s="1">
        <f t="shared" si="3"/>
        <v>10</v>
      </c>
      <c r="D21" s="3">
        <f t="shared" si="4"/>
        <v>92016.969230209492</v>
      </c>
      <c r="E21" s="6">
        <f t="shared" si="5"/>
        <v>34.04209543878131</v>
      </c>
      <c r="F21" s="6">
        <f t="shared" si="10"/>
        <v>23.661651699384866</v>
      </c>
      <c r="G21" s="5">
        <f t="shared" si="11"/>
        <v>2703.0348174566916</v>
      </c>
      <c r="H21" s="3">
        <f t="shared" si="0"/>
        <v>2576.4751384458659</v>
      </c>
      <c r="I21" s="3">
        <f t="shared" si="9"/>
        <v>1922.565748308305</v>
      </c>
      <c r="J21" s="3">
        <f t="shared" si="1"/>
        <v>1922.565748308305</v>
      </c>
      <c r="K21" s="3">
        <f t="shared" si="8"/>
        <v>3864.7127076687993</v>
      </c>
      <c r="L21" s="3">
        <f t="shared" si="2"/>
        <v>97804.247686186602</v>
      </c>
    </row>
    <row r="22" spans="1:19" x14ac:dyDescent="0.25">
      <c r="B22" s="1">
        <f t="shared" si="3"/>
        <v>11</v>
      </c>
      <c r="D22" s="3">
        <f t="shared" si="4"/>
        <v>97804.247686186602</v>
      </c>
      <c r="E22" s="6">
        <f t="shared" si="5"/>
        <v>35.471863447210126</v>
      </c>
      <c r="F22" s="6">
        <f t="shared" si="10"/>
        <v>23.89380837073406</v>
      </c>
      <c r="G22" s="5">
        <f t="shared" si="11"/>
        <v>2757.2345566716754</v>
      </c>
      <c r="H22" s="3">
        <f t="shared" si="0"/>
        <v>2738.5189352132247</v>
      </c>
      <c r="I22" s="3">
        <f t="shared" si="9"/>
        <v>2043.4828294561082</v>
      </c>
      <c r="J22" s="3">
        <f t="shared" si="1"/>
        <v>2043.4828294561082</v>
      </c>
      <c r="K22" s="3">
        <f t="shared" si="8"/>
        <v>4107.7784028198384</v>
      </c>
      <c r="L22" s="3">
        <f t="shared" si="2"/>
        <v>103955.50891846254</v>
      </c>
    </row>
    <row r="23" spans="1:19" x14ac:dyDescent="0.25">
      <c r="B23" s="1">
        <f t="shared" si="3"/>
        <v>12</v>
      </c>
      <c r="D23" s="3">
        <f t="shared" si="4"/>
        <v>103955.50891846254</v>
      </c>
      <c r="E23" s="6">
        <f t="shared" si="5"/>
        <v>36.961681711992952</v>
      </c>
      <c r="F23" s="6">
        <f t="shared" si="10"/>
        <v>24.150687251595627</v>
      </c>
      <c r="G23" s="5">
        <f t="shared" si="11"/>
        <v>2812.5210786805769</v>
      </c>
      <c r="H23" s="3">
        <f t="shared" si="0"/>
        <v>2910.7542497169511</v>
      </c>
      <c r="I23" s="3">
        <f t="shared" si="9"/>
        <v>2172.0048211387889</v>
      </c>
      <c r="J23" s="3">
        <f t="shared" si="1"/>
        <v>2172.0048211387889</v>
      </c>
      <c r="K23" s="3">
        <f t="shared" si="8"/>
        <v>4366.1313745754278</v>
      </c>
      <c r="L23" s="3">
        <f t="shared" si="2"/>
        <v>110493.64511417676</v>
      </c>
    </row>
    <row r="24" spans="1:19" x14ac:dyDescent="0.25">
      <c r="B24" s="1">
        <f t="shared" si="3"/>
        <v>13</v>
      </c>
      <c r="D24" s="3">
        <f t="shared" si="4"/>
        <v>110493.64511417676</v>
      </c>
      <c r="E24" s="6">
        <f t="shared" si="5"/>
        <v>38.514072343896657</v>
      </c>
      <c r="F24" s="6">
        <f t="shared" si="10"/>
        <v>24.433032373218808</v>
      </c>
      <c r="G24" s="5">
        <f t="shared" si="11"/>
        <v>2868.9161750428807</v>
      </c>
      <c r="H24" s="3">
        <f t="shared" si="0"/>
        <v>3093.8220631969493</v>
      </c>
      <c r="I24" s="3">
        <f t="shared" si="9"/>
        <v>2308.6100235575636</v>
      </c>
      <c r="J24" s="3">
        <f t="shared" si="1"/>
        <v>2308.6100235575636</v>
      </c>
      <c r="K24" s="3">
        <f t="shared" si="8"/>
        <v>4640.7330947954251</v>
      </c>
      <c r="L24" s="3">
        <f t="shared" si="2"/>
        <v>117442.98823252975</v>
      </c>
    </row>
    <row r="25" spans="1:19" x14ac:dyDescent="0.25">
      <c r="B25" s="1">
        <f t="shared" si="3"/>
        <v>14</v>
      </c>
      <c r="D25" s="3">
        <f t="shared" si="4"/>
        <v>117442.98823252975</v>
      </c>
      <c r="E25" s="6">
        <f t="shared" si="5"/>
        <v>40.131663382340321</v>
      </c>
      <c r="F25" s="6">
        <f t="shared" si="10"/>
        <v>24.74162480133408</v>
      </c>
      <c r="G25" s="5">
        <f t="shared" si="11"/>
        <v>2926.4420742702086</v>
      </c>
      <c r="H25" s="3">
        <f t="shared" si="0"/>
        <v>3288.4036705108333</v>
      </c>
      <c r="I25" s="3">
        <f t="shared" si="9"/>
        <v>2453.8068189351839</v>
      </c>
      <c r="J25" s="3">
        <f t="shared" si="1"/>
        <v>2453.8068189351839</v>
      </c>
      <c r="K25" s="3">
        <f t="shared" si="8"/>
        <v>4932.6055057662506</v>
      </c>
      <c r="L25" s="3">
        <f t="shared" si="2"/>
        <v>124829.40055723119</v>
      </c>
    </row>
    <row r="26" spans="1:19" x14ac:dyDescent="0.25">
      <c r="B26" s="1">
        <f t="shared" si="3"/>
        <v>15</v>
      </c>
      <c r="D26" s="3">
        <f t="shared" si="4"/>
        <v>124829.40055723119</v>
      </c>
      <c r="E26" s="6">
        <f t="shared" si="5"/>
        <v>41.817193244398617</v>
      </c>
      <c r="F26" s="6">
        <f t="shared" si="10"/>
        <v>25.077284077880684</v>
      </c>
      <c r="G26" s="5">
        <f t="shared" si="11"/>
        <v>2985.1214505878402</v>
      </c>
      <c r="H26" s="3">
        <f t="shared" si="0"/>
        <v>3495.2232156024734</v>
      </c>
      <c r="I26" s="3">
        <f t="shared" si="9"/>
        <v>2608.1355634825654</v>
      </c>
      <c r="J26" s="3">
        <f t="shared" si="1"/>
        <v>2608.1355634825654</v>
      </c>
      <c r="K26" s="3">
        <f t="shared" si="8"/>
        <v>5242.8348234037112</v>
      </c>
      <c r="L26" s="3">
        <f t="shared" si="2"/>
        <v>132680.37094411746</v>
      </c>
    </row>
    <row r="27" spans="1:19" x14ac:dyDescent="0.25">
      <c r="B27" s="1">
        <f t="shared" si="3"/>
        <v>16</v>
      </c>
      <c r="D27" s="3">
        <f t="shared" si="4"/>
        <v>132680.37094411746</v>
      </c>
      <c r="E27" s="6">
        <f t="shared" si="5"/>
        <v>43.573515360663357</v>
      </c>
      <c r="F27" s="6">
        <f t="shared" si="10"/>
        <v>25.440869725522127</v>
      </c>
      <c r="G27" s="5">
        <f t="shared" si="11"/>
        <v>3044.9774328719113</v>
      </c>
      <c r="H27" s="3">
        <f t="shared" si="0"/>
        <v>3715.0503864352891</v>
      </c>
      <c r="I27" s="3">
        <f t="shared" si="9"/>
        <v>2772.1705983580127</v>
      </c>
      <c r="J27" s="3">
        <f t="shared" si="1"/>
        <v>2772.1705983580127</v>
      </c>
      <c r="K27" s="3">
        <f t="shared" si="8"/>
        <v>5572.5755796529347</v>
      </c>
      <c r="L27" s="3">
        <f t="shared" si="2"/>
        <v>141025.1171221284</v>
      </c>
    </row>
    <row r="28" spans="1:19" x14ac:dyDescent="0.25">
      <c r="B28" s="1">
        <f t="shared" si="3"/>
        <v>17</v>
      </c>
      <c r="D28" s="3">
        <f t="shared" si="4"/>
        <v>141025.1171221284</v>
      </c>
      <c r="E28" s="6">
        <f t="shared" si="5"/>
        <v>45.40360300581122</v>
      </c>
      <c r="F28" s="6">
        <f t="shared" si="10"/>
        <v>25.833282817542862</v>
      </c>
      <c r="G28" s="5">
        <f t="shared" si="11"/>
        <v>3106.0336137658196</v>
      </c>
      <c r="H28" s="3">
        <f t="shared" si="0"/>
        <v>3948.7032794195952</v>
      </c>
      <c r="I28" s="3">
        <f t="shared" si="9"/>
        <v>2946.522387102902</v>
      </c>
      <c r="J28" s="3">
        <f t="shared" si="1"/>
        <v>0</v>
      </c>
      <c r="K28" s="3">
        <f t="shared" si="8"/>
        <v>5923.054919129394</v>
      </c>
      <c r="L28" s="3">
        <f t="shared" si="2"/>
        <v>149894.6944283607</v>
      </c>
    </row>
    <row r="29" spans="1:19" x14ac:dyDescent="0.25">
      <c r="A29" s="20" t="s">
        <v>47</v>
      </c>
      <c r="B29" s="8">
        <f t="shared" si="3"/>
        <v>18</v>
      </c>
      <c r="C29" s="8"/>
      <c r="D29" s="11">
        <f t="shared" si="4"/>
        <v>108926.04482936941</v>
      </c>
      <c r="E29" s="12">
        <f t="shared" si="5"/>
        <v>47.310554332055297</v>
      </c>
      <c r="F29" s="12">
        <f t="shared" si="10"/>
        <v>25.833282817542862</v>
      </c>
      <c r="G29" s="13">
        <f t="shared" si="11"/>
        <v>3106.0336137658196</v>
      </c>
      <c r="H29" s="11">
        <f t="shared" si="0"/>
        <v>3049.9292552223433</v>
      </c>
      <c r="I29" s="11">
        <f t="shared" si="9"/>
        <v>2275.8572102469125</v>
      </c>
      <c r="J29" s="11">
        <f t="shared" si="1"/>
        <v>0</v>
      </c>
      <c r="K29" s="11">
        <f t="shared" si="8"/>
        <v>4574.8938828335158</v>
      </c>
      <c r="L29" s="11">
        <f t="shared" si="2"/>
        <v>115776.79592244985</v>
      </c>
      <c r="M29" s="17">
        <v>40968.64959899128</v>
      </c>
      <c r="N29" s="11">
        <f>MIN(M29,I28)</f>
        <v>2946.522387102902</v>
      </c>
      <c r="O29" s="11">
        <f>M29-N29</f>
        <v>38022.127211888379</v>
      </c>
      <c r="P29" s="13">
        <f>O29/E29</f>
        <v>803.67114164474003</v>
      </c>
      <c r="Q29" s="11">
        <f>(E29-F29)*P29</f>
        <v>17260.663317482264</v>
      </c>
      <c r="R29" s="11">
        <f>Q29*$J$4</f>
        <v>3745.563939893651</v>
      </c>
      <c r="S29" s="11">
        <f>M29-R29</f>
        <v>37223.085659097633</v>
      </c>
    </row>
    <row r="30" spans="1:19" x14ac:dyDescent="0.25">
      <c r="A30" s="8" t="s">
        <v>47</v>
      </c>
      <c r="B30" s="8">
        <f t="shared" si="3"/>
        <v>19</v>
      </c>
      <c r="C30" s="8"/>
      <c r="D30" s="11">
        <f t="shared" si="4"/>
        <v>74808.146323458554</v>
      </c>
      <c r="E30" s="12">
        <f t="shared" si="5"/>
        <v>49.297597614001624</v>
      </c>
      <c r="F30" s="12">
        <f t="shared" si="10"/>
        <v>25.833282817542862</v>
      </c>
      <c r="G30" s="13">
        <f t="shared" si="11"/>
        <v>3106.0336137658196</v>
      </c>
      <c r="H30" s="11">
        <f t="shared" si="0"/>
        <v>2094.6280970568396</v>
      </c>
      <c r="I30" s="11">
        <f t="shared" si="9"/>
        <v>1563.0114860238136</v>
      </c>
      <c r="J30" s="11">
        <f t="shared" si="1"/>
        <v>0</v>
      </c>
      <c r="K30" s="11">
        <f t="shared" si="8"/>
        <v>3141.9421455852598</v>
      </c>
      <c r="L30" s="11">
        <f t="shared" si="2"/>
        <v>79513.099955067621</v>
      </c>
      <c r="M30" s="11">
        <f>M29</f>
        <v>40968.64959899128</v>
      </c>
      <c r="N30" s="11">
        <f t="shared" ref="N30:N32" si="12">MIN(M30,I29)</f>
        <v>2275.8572102469125</v>
      </c>
      <c r="O30" s="11">
        <f t="shared" ref="O30:O32" si="13">M30-N30</f>
        <v>38692.792388744369</v>
      </c>
      <c r="P30" s="13">
        <f>O30/E30</f>
        <v>784.88190624840399</v>
      </c>
      <c r="Q30" s="11">
        <f>(E30-F30)*P30</f>
        <v>18416.716126257186</v>
      </c>
      <c r="R30" s="11">
        <f>Q30*$J$4</f>
        <v>3996.4273993978095</v>
      </c>
      <c r="S30" s="11">
        <f t="shared" ref="S30:S32" si="14">M30-R30</f>
        <v>36972.222199593467</v>
      </c>
    </row>
    <row r="31" spans="1:19" x14ac:dyDescent="0.25">
      <c r="A31" s="8" t="s">
        <v>47</v>
      </c>
      <c r="B31" s="8">
        <f t="shared" si="3"/>
        <v>20</v>
      </c>
      <c r="C31" s="8"/>
      <c r="D31" s="11">
        <f t="shared" si="4"/>
        <v>38544.450356076341</v>
      </c>
      <c r="E31" s="12">
        <f t="shared" si="5"/>
        <v>51.368096713789697</v>
      </c>
      <c r="F31" s="12">
        <f t="shared" si="10"/>
        <v>25.833282817542862</v>
      </c>
      <c r="G31" s="13">
        <f t="shared" si="11"/>
        <v>3106.0336137658196</v>
      </c>
      <c r="H31" s="11">
        <f t="shared" si="0"/>
        <v>1079.2446099701376</v>
      </c>
      <c r="I31" s="11">
        <f t="shared" si="9"/>
        <v>805.33232795971662</v>
      </c>
      <c r="J31" s="11">
        <f t="shared" si="1"/>
        <v>0</v>
      </c>
      <c r="K31" s="11">
        <f t="shared" si="8"/>
        <v>1618.8669149552068</v>
      </c>
      <c r="L31" s="11">
        <f t="shared" si="2"/>
        <v>40968.649598991266</v>
      </c>
      <c r="M31" s="11">
        <f>M30</f>
        <v>40968.64959899128</v>
      </c>
      <c r="N31" s="11">
        <f t="shared" si="12"/>
        <v>1563.0114860238136</v>
      </c>
      <c r="O31" s="11">
        <f t="shared" si="13"/>
        <v>39405.63811296747</v>
      </c>
      <c r="P31" s="13">
        <f>O31/E31</f>
        <v>767.12279866092604</v>
      </c>
      <c r="Q31" s="11">
        <f>(E31-F31)*P31</f>
        <v>19588.337899374776</v>
      </c>
      <c r="R31" s="11">
        <f>Q31*$J$4</f>
        <v>4250.6693241643261</v>
      </c>
      <c r="S31" s="11">
        <f t="shared" si="14"/>
        <v>36717.980274826958</v>
      </c>
    </row>
    <row r="32" spans="1:19" x14ac:dyDescent="0.25">
      <c r="A32" s="8" t="s">
        <v>47</v>
      </c>
      <c r="B32" s="8">
        <f t="shared" si="3"/>
        <v>21</v>
      </c>
      <c r="C32" s="8"/>
      <c r="D32" s="11">
        <f t="shared" si="4"/>
        <v>-1.4551915228366852E-11</v>
      </c>
      <c r="E32" s="12">
        <f t="shared" si="5"/>
        <v>53.525556775768869</v>
      </c>
      <c r="F32" s="12">
        <f t="shared" si="10"/>
        <v>25.833282817542862</v>
      </c>
      <c r="G32" s="13">
        <f t="shared" si="11"/>
        <v>3106.0336137658196</v>
      </c>
      <c r="H32" s="11">
        <f t="shared" si="0"/>
        <v>-4.0745362639427186E-13</v>
      </c>
      <c r="I32" s="11">
        <f t="shared" si="9"/>
        <v>-3.0404189601540563E-13</v>
      </c>
      <c r="J32" s="11">
        <f t="shared" si="1"/>
        <v>-3.0404189601540563E-13</v>
      </c>
      <c r="K32" s="11">
        <f t="shared" si="8"/>
        <v>-6.1118043959140791E-13</v>
      </c>
      <c r="L32" s="11">
        <f t="shared" si="2"/>
        <v>-1.5467137563973665E-11</v>
      </c>
      <c r="M32" s="11">
        <f>M31</f>
        <v>40968.64959899128</v>
      </c>
      <c r="N32" s="11">
        <f t="shared" si="12"/>
        <v>805.33232795971662</v>
      </c>
      <c r="O32" s="11">
        <f t="shared" si="13"/>
        <v>40163.317271031563</v>
      </c>
      <c r="P32" s="13">
        <f>O32/E32</f>
        <v>750.35776721174773</v>
      </c>
      <c r="Q32" s="11">
        <f>(E32-F32)*P32</f>
        <v>20779.112856310494</v>
      </c>
      <c r="R32" s="11">
        <f>Q32*$J$4</f>
        <v>4509.0674898193774</v>
      </c>
      <c r="S32" s="11">
        <f t="shared" si="14"/>
        <v>36459.582109171904</v>
      </c>
    </row>
    <row r="33" spans="1:48" x14ac:dyDescent="0.25">
      <c r="A33" s="1" t="s">
        <v>56</v>
      </c>
      <c r="B33" s="3"/>
      <c r="C33" s="3">
        <f>SUM(C11:C32)</f>
        <v>50000</v>
      </c>
      <c r="D33" s="3"/>
      <c r="E33" s="3"/>
      <c r="F33" s="3"/>
      <c r="G33" s="3"/>
      <c r="H33" s="3">
        <f>SUM(H11:H32)</f>
        <v>50696.553466283112</v>
      </c>
      <c r="I33" s="3">
        <f>SUM(I11:I32)</f>
        <v>37829.768196540455</v>
      </c>
      <c r="J33" s="3"/>
      <c r="K33" s="3">
        <f>SUM(K11:K32)</f>
        <v>76044.830199424672</v>
      </c>
      <c r="L33" s="3"/>
      <c r="M33" s="3"/>
      <c r="N33" s="3"/>
      <c r="O33" s="3"/>
      <c r="P33" s="5"/>
      <c r="Q33" s="3"/>
      <c r="R33" s="3">
        <f>SUM(R11:R32)</f>
        <v>16501.728153275166</v>
      </c>
      <c r="S33" s="3">
        <f>SUM(S11:S32)</f>
        <v>147372.87024268997</v>
      </c>
      <c r="U33" s="1" t="s">
        <v>56</v>
      </c>
      <c r="AV33" s="3"/>
    </row>
    <row r="34" spans="1:48" x14ac:dyDescent="0.25">
      <c r="A34" s="1" t="s">
        <v>62</v>
      </c>
      <c r="C34" s="3">
        <f>SUM(C11:C28)</f>
        <v>50000</v>
      </c>
      <c r="D34" s="3"/>
      <c r="G34" s="5"/>
      <c r="H34" s="3">
        <f>SUM(H11:H28)</f>
        <v>44472.751504033789</v>
      </c>
      <c r="I34" s="3">
        <f>SUM(I11:I28)</f>
        <v>33185.567172310009</v>
      </c>
      <c r="K34" s="3">
        <f>SUM(K11:K28)</f>
        <v>66709.127256050691</v>
      </c>
      <c r="R34" s="3">
        <f>SUM(R11:R28)</f>
        <v>0</v>
      </c>
      <c r="S34" s="3">
        <f>SUM(S11:S28)</f>
        <v>0</v>
      </c>
      <c r="U34" s="1" t="s">
        <v>62</v>
      </c>
    </row>
    <row r="35" spans="1:48" x14ac:dyDescent="0.25">
      <c r="A35" s="1" t="s">
        <v>47</v>
      </c>
      <c r="C35" s="3">
        <f>SUM(C29:C32)</f>
        <v>0</v>
      </c>
      <c r="D35" s="3"/>
      <c r="G35" s="5"/>
      <c r="H35" s="3">
        <f>SUM(H29:H32)</f>
        <v>6223.8019622493202</v>
      </c>
      <c r="I35" s="3">
        <f>SUM(I29:I32)</f>
        <v>4644.2010242304423</v>
      </c>
      <c r="K35" s="3">
        <f>SUM(K29:K32)</f>
        <v>9335.7029433739826</v>
      </c>
      <c r="R35" s="3">
        <f>SUM(R29:R32)</f>
        <v>16501.728153275166</v>
      </c>
      <c r="S35" s="3">
        <f>SUM(S29:S32)</f>
        <v>147372.87024268997</v>
      </c>
      <c r="U35" s="1" t="s">
        <v>47</v>
      </c>
      <c r="AV35" s="3">
        <f>AT35+S35</f>
        <v>147372.87024268997</v>
      </c>
    </row>
    <row r="36" spans="1:48" x14ac:dyDescent="0.25">
      <c r="C36" s="3"/>
      <c r="D36" s="3"/>
      <c r="G36" s="5"/>
      <c r="H36" s="3"/>
      <c r="I36" s="3"/>
      <c r="K36" s="3"/>
      <c r="R36" s="3"/>
      <c r="S36" s="3"/>
    </row>
    <row r="37" spans="1:48" x14ac:dyDescent="0.25">
      <c r="D37" s="3"/>
      <c r="G37" s="5"/>
      <c r="I37" s="3"/>
    </row>
    <row r="38" spans="1:48" s="7" customFormat="1" ht="45" x14ac:dyDescent="0.25">
      <c r="A38" s="19" t="s">
        <v>13</v>
      </c>
      <c r="G38" s="16"/>
      <c r="W38" s="10" t="s">
        <v>23</v>
      </c>
      <c r="X38" s="10" t="s">
        <v>24</v>
      </c>
      <c r="Y38" s="10" t="s">
        <v>22</v>
      </c>
      <c r="Z38" s="10" t="s">
        <v>25</v>
      </c>
      <c r="AA38" s="10" t="s">
        <v>26</v>
      </c>
      <c r="AB38" s="10" t="s">
        <v>29</v>
      </c>
      <c r="AC38" s="10" t="s">
        <v>9</v>
      </c>
      <c r="AD38" s="10" t="s">
        <v>11</v>
      </c>
      <c r="AE38" s="10" t="s">
        <v>4</v>
      </c>
      <c r="AF38" s="10" t="s">
        <v>6</v>
      </c>
      <c r="AG38" s="10" t="s">
        <v>32</v>
      </c>
      <c r="AH38" s="10" t="s">
        <v>5</v>
      </c>
      <c r="AI38" s="10" t="s">
        <v>46</v>
      </c>
      <c r="AJ38" s="10" t="s">
        <v>19</v>
      </c>
      <c r="AK38" s="10" t="s">
        <v>27</v>
      </c>
      <c r="AL38" s="10" t="s">
        <v>28</v>
      </c>
      <c r="AM38" s="10" t="s">
        <v>30</v>
      </c>
      <c r="AN38" s="10" t="s">
        <v>31</v>
      </c>
      <c r="AO38" s="10" t="s">
        <v>21</v>
      </c>
      <c r="AP38" s="10" t="s">
        <v>18</v>
      </c>
      <c r="AQ38" s="10" t="s">
        <v>17</v>
      </c>
      <c r="AR38" s="10" t="s">
        <v>14</v>
      </c>
      <c r="AS38" s="10" t="s">
        <v>54</v>
      </c>
      <c r="AT38" s="10" t="s">
        <v>20</v>
      </c>
    </row>
    <row r="39" spans="1:48" x14ac:dyDescent="0.25">
      <c r="P39" s="5"/>
      <c r="V39" s="1">
        <v>0</v>
      </c>
      <c r="W39" s="3">
        <v>50000</v>
      </c>
      <c r="X39" s="3">
        <f>MIN(W39*20%,500)</f>
        <v>500</v>
      </c>
      <c r="Y39" s="3">
        <f>W39+X39</f>
        <v>50500</v>
      </c>
      <c r="Z39" s="3">
        <f>W39</f>
        <v>50000</v>
      </c>
      <c r="AA39" s="3">
        <f>Y39-Z39</f>
        <v>500</v>
      </c>
      <c r="AB39" s="6">
        <v>22.56</v>
      </c>
      <c r="AC39" s="6"/>
      <c r="AD39" s="5">
        <f>Y39/AB39</f>
        <v>2238.4751773049647</v>
      </c>
      <c r="AE39" s="3">
        <f>Y39*$E$2</f>
        <v>1414</v>
      </c>
      <c r="AF39" s="3"/>
      <c r="AG39" s="3">
        <f>AE39-AM40</f>
        <v>1414</v>
      </c>
      <c r="AH39" s="3">
        <f t="shared" ref="AH39:AH60" si="15">Y39*$E$3</f>
        <v>2121.0000000000005</v>
      </c>
      <c r="AI39" s="3">
        <f>Y39+AE39+AH39</f>
        <v>54035</v>
      </c>
    </row>
    <row r="40" spans="1:48" x14ac:dyDescent="0.25">
      <c r="V40" s="1">
        <f>V39+1</f>
        <v>1</v>
      </c>
      <c r="Y40" s="3">
        <f>AB40*AD40</f>
        <v>54035.000000000007</v>
      </c>
      <c r="Z40" s="3">
        <f>W40+Z39-AK40</f>
        <v>50000</v>
      </c>
      <c r="AA40" s="3">
        <f>Y40-Z40</f>
        <v>4035.0000000000073</v>
      </c>
      <c r="AB40" s="6">
        <f>AB39*(1+$E$3)</f>
        <v>23.50752</v>
      </c>
      <c r="AC40" s="6"/>
      <c r="AD40" s="5">
        <f>AD39+AG39/AB40+W40/AB40+X40/AB40-AK40/AB40-AN40/AB40</f>
        <v>2298.6261417622959</v>
      </c>
      <c r="AE40" s="3">
        <f>Y40*$E$2</f>
        <v>1512.9800000000002</v>
      </c>
      <c r="AF40" s="3"/>
      <c r="AG40" s="3">
        <f t="shared" ref="AG40:AG47" si="16">AE40-AM41</f>
        <v>1512.9800000000002</v>
      </c>
      <c r="AH40" s="3">
        <f t="shared" si="15"/>
        <v>2269.4700000000007</v>
      </c>
      <c r="AI40" s="3">
        <f t="shared" ref="AI40:AI60" si="17">Y40+AE40+AH40</f>
        <v>57817.450000000012</v>
      </c>
    </row>
    <row r="41" spans="1:48" x14ac:dyDescent="0.25">
      <c r="V41" s="1">
        <f t="shared" ref="V41:V60" si="18">V40+1</f>
        <v>2</v>
      </c>
      <c r="Y41" s="3">
        <f t="shared" ref="Y41:Y60" si="19">AB41*AD41</f>
        <v>57817.450000000004</v>
      </c>
      <c r="Z41" s="3">
        <f t="shared" ref="Z41:Z57" si="20">W41+Z40-AK41</f>
        <v>50000</v>
      </c>
      <c r="AA41" s="3">
        <f t="shared" ref="AA41:AA56" si="21">Y41-Z41</f>
        <v>7817.4500000000044</v>
      </c>
      <c r="AB41" s="6">
        <f t="shared" ref="AB41:AB55" si="22">AB40*(1+$E$3)</f>
        <v>24.49483584</v>
      </c>
      <c r="AC41" s="6"/>
      <c r="AD41" s="5">
        <f t="shared" ref="AD41:AD60" si="23">AD40+AG40/AB41+W41/AB41+X41/AB41-AK41/AB41-AN41/AB41</f>
        <v>2360.3934469152173</v>
      </c>
      <c r="AE41" s="3">
        <f t="shared" ref="AE41:AE60" si="24">Y41*$E$2</f>
        <v>1618.8886000000002</v>
      </c>
      <c r="AF41" s="3"/>
      <c r="AG41" s="3">
        <f t="shared" si="16"/>
        <v>1618.8886000000002</v>
      </c>
      <c r="AH41" s="3">
        <f t="shared" si="15"/>
        <v>2428.3329000000008</v>
      </c>
      <c r="AI41" s="3">
        <f t="shared" si="17"/>
        <v>61864.671500000004</v>
      </c>
    </row>
    <row r="42" spans="1:48" x14ac:dyDescent="0.25">
      <c r="V42" s="1">
        <f t="shared" si="18"/>
        <v>3</v>
      </c>
      <c r="Y42" s="3">
        <f t="shared" si="19"/>
        <v>61864.671500000011</v>
      </c>
      <c r="Z42" s="3">
        <f t="shared" si="20"/>
        <v>50000</v>
      </c>
      <c r="AA42" s="3">
        <f t="shared" si="21"/>
        <v>11864.671500000011</v>
      </c>
      <c r="AB42" s="6">
        <f t="shared" si="22"/>
        <v>25.523618945280003</v>
      </c>
      <c r="AC42" s="6"/>
      <c r="AD42" s="5">
        <f t="shared" si="23"/>
        <v>2423.8205261029584</v>
      </c>
      <c r="AE42" s="3">
        <f t="shared" si="24"/>
        <v>1732.2108020000003</v>
      </c>
      <c r="AF42" s="3"/>
      <c r="AG42" s="3">
        <f t="shared" si="16"/>
        <v>1732.2108020000003</v>
      </c>
      <c r="AH42" s="3">
        <f t="shared" si="15"/>
        <v>2598.3162030000012</v>
      </c>
      <c r="AI42" s="3">
        <f t="shared" si="17"/>
        <v>66195.198505000008</v>
      </c>
    </row>
    <row r="43" spans="1:48" x14ac:dyDescent="0.25">
      <c r="V43" s="1">
        <f t="shared" si="18"/>
        <v>4</v>
      </c>
      <c r="Y43" s="3">
        <f t="shared" si="19"/>
        <v>66195.198505000022</v>
      </c>
      <c r="Z43" s="3">
        <f t="shared" si="20"/>
        <v>50000</v>
      </c>
      <c r="AA43" s="3">
        <f t="shared" si="21"/>
        <v>16195.198505000022</v>
      </c>
      <c r="AB43" s="6">
        <f t="shared" si="22"/>
        <v>26.595610940981764</v>
      </c>
      <c r="AC43" s="6"/>
      <c r="AD43" s="5">
        <f t="shared" si="23"/>
        <v>2488.9519797794296</v>
      </c>
      <c r="AE43" s="3">
        <f t="shared" si="24"/>
        <v>1853.4655581400007</v>
      </c>
      <c r="AF43" s="3"/>
      <c r="AG43" s="3">
        <f t="shared" si="16"/>
        <v>1853.4655581400007</v>
      </c>
      <c r="AH43" s="3">
        <f t="shared" si="15"/>
        <v>2780.1983372100017</v>
      </c>
      <c r="AI43" s="3">
        <f t="shared" si="17"/>
        <v>70828.86240035003</v>
      </c>
    </row>
    <row r="44" spans="1:48" x14ac:dyDescent="0.25">
      <c r="V44" s="1">
        <f t="shared" si="18"/>
        <v>5</v>
      </c>
      <c r="Y44" s="3">
        <f t="shared" si="19"/>
        <v>70828.86240035003</v>
      </c>
      <c r="Z44" s="3">
        <f t="shared" si="20"/>
        <v>50000</v>
      </c>
      <c r="AA44" s="3">
        <f t="shared" si="21"/>
        <v>20828.86240035003</v>
      </c>
      <c r="AB44" s="6">
        <f t="shared" si="22"/>
        <v>27.712626600503</v>
      </c>
      <c r="AC44" s="6"/>
      <c r="AD44" s="5">
        <f t="shared" si="23"/>
        <v>2555.8336068752301</v>
      </c>
      <c r="AE44" s="3">
        <f t="shared" si="24"/>
        <v>1983.2081472098009</v>
      </c>
      <c r="AF44" s="3"/>
      <c r="AG44" s="3">
        <f t="shared" si="16"/>
        <v>1983.2081472098009</v>
      </c>
      <c r="AH44" s="3">
        <f t="shared" si="15"/>
        <v>2974.812220814702</v>
      </c>
      <c r="AI44" s="3">
        <f t="shared" si="17"/>
        <v>75786.882768374533</v>
      </c>
    </row>
    <row r="45" spans="1:48" x14ac:dyDescent="0.25">
      <c r="V45" s="1">
        <f t="shared" si="18"/>
        <v>6</v>
      </c>
      <c r="Y45" s="3">
        <f t="shared" si="19"/>
        <v>75786.882768374533</v>
      </c>
      <c r="Z45" s="3">
        <f t="shared" si="20"/>
        <v>50000</v>
      </c>
      <c r="AA45" s="3">
        <f t="shared" si="21"/>
        <v>25786.882768374533</v>
      </c>
      <c r="AB45" s="6">
        <f t="shared" si="22"/>
        <v>28.876556917724127</v>
      </c>
      <c r="AC45" s="6"/>
      <c r="AD45" s="5">
        <f t="shared" si="23"/>
        <v>2624.5124370023955</v>
      </c>
      <c r="AE45" s="3">
        <f t="shared" si="24"/>
        <v>2122.0327175144871</v>
      </c>
      <c r="AF45" s="3"/>
      <c r="AG45" s="3">
        <f t="shared" si="16"/>
        <v>2122.0327175144871</v>
      </c>
      <c r="AH45" s="3">
        <f t="shared" si="15"/>
        <v>3183.0490762717313</v>
      </c>
      <c r="AI45" s="3">
        <f t="shared" si="17"/>
        <v>81091.964562160763</v>
      </c>
    </row>
    <row r="46" spans="1:48" x14ac:dyDescent="0.25">
      <c r="V46" s="1">
        <f t="shared" si="18"/>
        <v>7</v>
      </c>
      <c r="Y46" s="3">
        <f t="shared" si="19"/>
        <v>81091.964562160749</v>
      </c>
      <c r="Z46" s="3">
        <f t="shared" si="20"/>
        <v>50000</v>
      </c>
      <c r="AA46" s="3">
        <f t="shared" si="21"/>
        <v>31091.964562160749</v>
      </c>
      <c r="AB46" s="6">
        <f t="shared" si="22"/>
        <v>30.08937230826854</v>
      </c>
      <c r="AC46" s="6"/>
      <c r="AD46" s="5">
        <f t="shared" si="23"/>
        <v>2695.0367635245329</v>
      </c>
      <c r="AE46" s="3">
        <f t="shared" si="24"/>
        <v>2270.575007740501</v>
      </c>
      <c r="AF46" s="3"/>
      <c r="AG46" s="3">
        <f t="shared" si="16"/>
        <v>2270.575007740501</v>
      </c>
      <c r="AH46" s="3">
        <f t="shared" si="15"/>
        <v>3405.8625116107523</v>
      </c>
      <c r="AI46" s="3">
        <f t="shared" si="17"/>
        <v>86768.402081512002</v>
      </c>
    </row>
    <row r="47" spans="1:48" x14ac:dyDescent="0.25">
      <c r="V47" s="1">
        <f t="shared" si="18"/>
        <v>8</v>
      </c>
      <c r="Y47" s="3">
        <f t="shared" si="19"/>
        <v>86768.402081512002</v>
      </c>
      <c r="Z47" s="3">
        <f t="shared" si="20"/>
        <v>50000</v>
      </c>
      <c r="AA47" s="3">
        <f t="shared" si="21"/>
        <v>36768.402081512002</v>
      </c>
      <c r="AB47" s="6">
        <f t="shared" si="22"/>
        <v>31.353125945215819</v>
      </c>
      <c r="AC47" s="6"/>
      <c r="AD47" s="5">
        <f t="shared" si="23"/>
        <v>2767.4561775155953</v>
      </c>
      <c r="AE47" s="3">
        <f t="shared" si="24"/>
        <v>2429.5152582823362</v>
      </c>
      <c r="AF47" s="3"/>
      <c r="AG47" s="3">
        <f t="shared" si="16"/>
        <v>2429.5152582823362</v>
      </c>
      <c r="AH47" s="3">
        <f t="shared" si="15"/>
        <v>3644.2728874235049</v>
      </c>
      <c r="AI47" s="3">
        <f t="shared" si="17"/>
        <v>92842.190227217841</v>
      </c>
    </row>
    <row r="48" spans="1:48" x14ac:dyDescent="0.25">
      <c r="V48" s="1">
        <f t="shared" si="18"/>
        <v>9</v>
      </c>
      <c r="Y48" s="3">
        <f t="shared" si="19"/>
        <v>92842.190227217841</v>
      </c>
      <c r="Z48" s="3">
        <f t="shared" si="20"/>
        <v>50000</v>
      </c>
      <c r="AA48" s="3">
        <f t="shared" si="21"/>
        <v>42842.190227217841</v>
      </c>
      <c r="AB48" s="6">
        <f t="shared" si="22"/>
        <v>32.669957234914882</v>
      </c>
      <c r="AC48" s="6"/>
      <c r="AD48" s="5">
        <f t="shared" si="23"/>
        <v>2841.8216026311775</v>
      </c>
      <c r="AE48" s="3">
        <f t="shared" si="24"/>
        <v>2599.5813263620994</v>
      </c>
      <c r="AF48" s="3"/>
      <c r="AG48" s="3">
        <f>AE48-AM49</f>
        <v>2599.5813263620994</v>
      </c>
      <c r="AH48" s="3">
        <f t="shared" si="15"/>
        <v>3899.3719895431504</v>
      </c>
      <c r="AI48" s="3">
        <f t="shared" si="17"/>
        <v>99341.143543123093</v>
      </c>
    </row>
    <row r="49" spans="1:48" x14ac:dyDescent="0.25">
      <c r="V49" s="1">
        <f t="shared" si="18"/>
        <v>10</v>
      </c>
      <c r="Y49" s="3">
        <f t="shared" si="19"/>
        <v>99341.143543123108</v>
      </c>
      <c r="Z49" s="3">
        <f t="shared" si="20"/>
        <v>50000</v>
      </c>
      <c r="AA49" s="3">
        <f t="shared" si="21"/>
        <v>49341.143543123108</v>
      </c>
      <c r="AB49" s="6">
        <f t="shared" si="22"/>
        <v>34.04209543878131</v>
      </c>
      <c r="AC49" s="6"/>
      <c r="AD49" s="5">
        <f t="shared" si="23"/>
        <v>2918.1853309168523</v>
      </c>
      <c r="AE49" s="3">
        <f t="shared" si="24"/>
        <v>2781.5520192074468</v>
      </c>
      <c r="AF49" s="3"/>
      <c r="AG49" s="3">
        <f t="shared" ref="AG49:AG55" si="25">AE49-AM50</f>
        <v>2781.5520192074468</v>
      </c>
      <c r="AH49" s="3">
        <f t="shared" si="15"/>
        <v>4172.3280288111719</v>
      </c>
      <c r="AI49" s="3">
        <f t="shared" si="17"/>
        <v>106295.02359114173</v>
      </c>
    </row>
    <row r="50" spans="1:48" x14ac:dyDescent="0.25">
      <c r="V50" s="1">
        <f t="shared" si="18"/>
        <v>11</v>
      </c>
      <c r="Y50" s="3">
        <f t="shared" si="19"/>
        <v>106295.02359114173</v>
      </c>
      <c r="Z50" s="3">
        <f t="shared" si="20"/>
        <v>50000</v>
      </c>
      <c r="AA50" s="3">
        <f t="shared" si="21"/>
        <v>56295.023591141726</v>
      </c>
      <c r="AB50" s="6">
        <f t="shared" si="22"/>
        <v>35.471863447210126</v>
      </c>
      <c r="AC50" s="6"/>
      <c r="AD50" s="5">
        <f t="shared" si="23"/>
        <v>2996.6010595787257</v>
      </c>
      <c r="AE50" s="3">
        <f t="shared" si="24"/>
        <v>2976.2606605519682</v>
      </c>
      <c r="AF50" s="3"/>
      <c r="AG50" s="3">
        <f t="shared" si="25"/>
        <v>2976.2606605519682</v>
      </c>
      <c r="AH50" s="3">
        <f t="shared" si="15"/>
        <v>4464.3909908279538</v>
      </c>
      <c r="AI50" s="3">
        <f t="shared" si="17"/>
        <v>113735.67524252165</v>
      </c>
    </row>
    <row r="51" spans="1:48" x14ac:dyDescent="0.25">
      <c r="V51" s="1">
        <f t="shared" si="18"/>
        <v>12</v>
      </c>
      <c r="Y51" s="3">
        <f t="shared" si="19"/>
        <v>113735.67524252165</v>
      </c>
      <c r="Z51" s="3">
        <f t="shared" si="20"/>
        <v>50000</v>
      </c>
      <c r="AA51" s="3">
        <f t="shared" si="21"/>
        <v>63735.675242521655</v>
      </c>
      <c r="AB51" s="6">
        <f t="shared" si="22"/>
        <v>36.961681711992952</v>
      </c>
      <c r="AC51" s="6"/>
      <c r="AD51" s="5">
        <f t="shared" si="23"/>
        <v>3077.1239287420694</v>
      </c>
      <c r="AE51" s="3">
        <f t="shared" si="24"/>
        <v>3184.5989067906062</v>
      </c>
      <c r="AF51" s="3"/>
      <c r="AG51" s="3">
        <f t="shared" si="25"/>
        <v>3184.5989067906062</v>
      </c>
      <c r="AH51" s="3">
        <f t="shared" si="15"/>
        <v>4776.8983601859109</v>
      </c>
      <c r="AI51" s="3">
        <f t="shared" si="17"/>
        <v>121697.17250949817</v>
      </c>
    </row>
    <row r="52" spans="1:48" x14ac:dyDescent="0.25">
      <c r="V52" s="1">
        <f t="shared" si="18"/>
        <v>13</v>
      </c>
      <c r="Y52" s="3">
        <f t="shared" si="19"/>
        <v>121697.17250949817</v>
      </c>
      <c r="Z52" s="3">
        <f t="shared" si="20"/>
        <v>50000</v>
      </c>
      <c r="AA52" s="3">
        <f t="shared" si="21"/>
        <v>71697.172509498167</v>
      </c>
      <c r="AB52" s="6">
        <f t="shared" si="22"/>
        <v>38.514072343896657</v>
      </c>
      <c r="AC52" s="6"/>
      <c r="AD52" s="5">
        <f t="shared" si="23"/>
        <v>3159.8105602245819</v>
      </c>
      <c r="AE52" s="3">
        <f t="shared" si="24"/>
        <v>3407.5208302659489</v>
      </c>
      <c r="AF52" s="3"/>
      <c r="AG52" s="3">
        <f t="shared" si="25"/>
        <v>3407.5208302659489</v>
      </c>
      <c r="AH52" s="3">
        <f t="shared" si="15"/>
        <v>5111.2812453989245</v>
      </c>
      <c r="AI52" s="3">
        <f t="shared" si="17"/>
        <v>130215.97458516303</v>
      </c>
    </row>
    <row r="53" spans="1:48" x14ac:dyDescent="0.25">
      <c r="V53" s="1">
        <f t="shared" si="18"/>
        <v>14</v>
      </c>
      <c r="Y53" s="3">
        <f t="shared" si="19"/>
        <v>130215.97458516306</v>
      </c>
      <c r="Z53" s="3">
        <f t="shared" si="20"/>
        <v>50000</v>
      </c>
      <c r="AA53" s="3">
        <f t="shared" si="21"/>
        <v>80215.974585163058</v>
      </c>
      <c r="AB53" s="6">
        <f t="shared" si="22"/>
        <v>40.131663382340321</v>
      </c>
      <c r="AC53" s="6"/>
      <c r="AD53" s="5">
        <f t="shared" si="23"/>
        <v>3244.719097351538</v>
      </c>
      <c r="AE53" s="3">
        <f t="shared" si="24"/>
        <v>3646.0472883845655</v>
      </c>
      <c r="AF53" s="3"/>
      <c r="AG53" s="3">
        <f t="shared" si="25"/>
        <v>3646.0472883845655</v>
      </c>
      <c r="AH53" s="3">
        <f t="shared" si="15"/>
        <v>5469.0709325768494</v>
      </c>
      <c r="AI53" s="3">
        <f t="shared" si="17"/>
        <v>139331.09280612448</v>
      </c>
    </row>
    <row r="54" spans="1:48" x14ac:dyDescent="0.25">
      <c r="V54" s="1">
        <f t="shared" si="18"/>
        <v>15</v>
      </c>
      <c r="Y54" s="3">
        <f t="shared" si="19"/>
        <v>139331.09280612448</v>
      </c>
      <c r="Z54" s="3">
        <f t="shared" si="20"/>
        <v>50000</v>
      </c>
      <c r="AA54" s="3">
        <f t="shared" si="21"/>
        <v>89331.092806124478</v>
      </c>
      <c r="AB54" s="6">
        <f t="shared" si="22"/>
        <v>41.817193244398617</v>
      </c>
      <c r="AC54" s="6"/>
      <c r="AD54" s="5">
        <f t="shared" si="23"/>
        <v>3331.9092458408309</v>
      </c>
      <c r="AE54" s="3">
        <f t="shared" si="24"/>
        <v>3901.2705985714856</v>
      </c>
      <c r="AF54" s="3"/>
      <c r="AG54" s="3">
        <f t="shared" si="25"/>
        <v>3901.2705985714856</v>
      </c>
      <c r="AH54" s="3">
        <f t="shared" si="15"/>
        <v>5851.9058978572293</v>
      </c>
      <c r="AI54" s="3">
        <f t="shared" si="17"/>
        <v>149084.26930255321</v>
      </c>
    </row>
    <row r="55" spans="1:48" x14ac:dyDescent="0.25">
      <c r="V55" s="1">
        <f t="shared" si="18"/>
        <v>16</v>
      </c>
      <c r="Y55" s="3">
        <f t="shared" si="19"/>
        <v>149084.26930255321</v>
      </c>
      <c r="Z55" s="3">
        <f t="shared" si="20"/>
        <v>50000</v>
      </c>
      <c r="AA55" s="3">
        <f t="shared" si="21"/>
        <v>99084.269302553206</v>
      </c>
      <c r="AB55" s="6">
        <f t="shared" si="22"/>
        <v>43.573515360663357</v>
      </c>
      <c r="AC55" s="6"/>
      <c r="AD55" s="5">
        <f t="shared" si="23"/>
        <v>3421.4423157866499</v>
      </c>
      <c r="AE55" s="3">
        <f t="shared" si="24"/>
        <v>4174.3595404714897</v>
      </c>
      <c r="AF55" s="3"/>
      <c r="AG55" s="3">
        <f t="shared" si="25"/>
        <v>4174.3595404714897</v>
      </c>
      <c r="AH55" s="3">
        <f t="shared" si="15"/>
        <v>6261.5393107072359</v>
      </c>
      <c r="AI55" s="3">
        <f t="shared" si="17"/>
        <v>159520.16815373194</v>
      </c>
    </row>
    <row r="56" spans="1:48" x14ac:dyDescent="0.25">
      <c r="V56" s="1">
        <f t="shared" si="18"/>
        <v>17</v>
      </c>
      <c r="Y56" s="3">
        <f t="shared" si="19"/>
        <v>159520.16815373191</v>
      </c>
      <c r="Z56" s="3">
        <f t="shared" si="20"/>
        <v>50000</v>
      </c>
      <c r="AA56" s="3">
        <f t="shared" si="21"/>
        <v>109520.16815373191</v>
      </c>
      <c r="AB56" s="6">
        <f>AB55*(1+$E$3)</f>
        <v>45.40360300581122</v>
      </c>
      <c r="AC56" s="6"/>
      <c r="AD56" s="5">
        <f t="shared" si="23"/>
        <v>3513.3812647713198</v>
      </c>
      <c r="AE56" s="3">
        <f t="shared" si="24"/>
        <v>4466.5647083044933</v>
      </c>
      <c r="AF56" s="3"/>
      <c r="AG56" s="3">
        <f>AE56-AM57</f>
        <v>0</v>
      </c>
      <c r="AH56" s="3">
        <f t="shared" si="15"/>
        <v>6699.8470624567417</v>
      </c>
      <c r="AI56" s="3">
        <f t="shared" si="17"/>
        <v>170686.57992449315</v>
      </c>
    </row>
    <row r="57" spans="1:48" x14ac:dyDescent="0.25">
      <c r="U57" s="20" t="s">
        <v>47</v>
      </c>
      <c r="V57" s="8">
        <f t="shared" si="18"/>
        <v>18</v>
      </c>
      <c r="W57" s="8"/>
      <c r="X57" s="8"/>
      <c r="Y57" s="11">
        <f t="shared" si="19"/>
        <v>123591.7411100217</v>
      </c>
      <c r="Z57" s="11">
        <f t="shared" si="20"/>
        <v>36204.29361367927</v>
      </c>
      <c r="AA57" s="11">
        <f>Y57-Z57</f>
        <v>87387.447496342429</v>
      </c>
      <c r="AB57" s="12">
        <f>AB56*(1+$E$3)</f>
        <v>47.310554332055297</v>
      </c>
      <c r="AC57" s="12"/>
      <c r="AD57" s="13">
        <f t="shared" si="23"/>
        <v>2612.350306499834</v>
      </c>
      <c r="AE57" s="11">
        <f t="shared" si="24"/>
        <v>3460.5687510806079</v>
      </c>
      <c r="AF57" s="11"/>
      <c r="AG57" s="11">
        <f t="shared" ref="AG57:AG60" si="26">AE57-AM58</f>
        <v>0</v>
      </c>
      <c r="AH57" s="11">
        <f t="shared" si="15"/>
        <v>5190.8531266209129</v>
      </c>
      <c r="AI57" s="11">
        <f t="shared" si="17"/>
        <v>132243.16298772322</v>
      </c>
      <c r="AJ57" s="17">
        <v>47094.838814471477</v>
      </c>
      <c r="AK57" s="11">
        <f>AJ57*(Z56/(Y56+AE56+AH56))</f>
        <v>13795.70638632073</v>
      </c>
      <c r="AL57" s="11">
        <f>AJ57*(AA56+AE56+AH56)/(Y56+AE56+AH56)</f>
        <v>33299.13242815074</v>
      </c>
      <c r="AM57" s="11">
        <f>MIN(AE56,AL57)</f>
        <v>4466.5647083044933</v>
      </c>
      <c r="AN57" s="11">
        <f>AL57-AM57</f>
        <v>28832.567719846247</v>
      </c>
      <c r="AO57" s="8"/>
      <c r="AP57" s="8"/>
      <c r="AQ57" s="13">
        <f>AN57/AB57+AK57/AB57</f>
        <v>901.0309582714857</v>
      </c>
      <c r="AR57" s="8"/>
      <c r="AS57" s="11">
        <f>IF((AL57-$AF$6)&lt;0,0,(AL57-$AF$6)*$AF$5)</f>
        <v>3344.638211188962</v>
      </c>
      <c r="AT57" s="11">
        <f>AJ57-AS57</f>
        <v>43750.200603282516</v>
      </c>
    </row>
    <row r="58" spans="1:48" x14ac:dyDescent="0.25">
      <c r="U58" s="8" t="s">
        <v>47</v>
      </c>
      <c r="V58" s="8">
        <f>V57+1</f>
        <v>19</v>
      </c>
      <c r="W58" s="8"/>
      <c r="X58" s="8"/>
      <c r="Y58" s="11">
        <f t="shared" si="19"/>
        <v>85148.324173251764</v>
      </c>
      <c r="Z58" s="11">
        <f>W58+Z57-AK58</f>
        <v>23311.11007506177</v>
      </c>
      <c r="AA58" s="11">
        <f>Y58-Z58</f>
        <v>61837.214098189994</v>
      </c>
      <c r="AB58" s="12">
        <f>AB57*(1+$E$3)</f>
        <v>49.297597614001624</v>
      </c>
      <c r="AC58" s="12"/>
      <c r="AD58" s="13">
        <f t="shared" si="23"/>
        <v>1727.230702801382</v>
      </c>
      <c r="AE58" s="11">
        <f t="shared" si="24"/>
        <v>2384.1530768510493</v>
      </c>
      <c r="AF58" s="11"/>
      <c r="AG58" s="11">
        <f t="shared" si="26"/>
        <v>0</v>
      </c>
      <c r="AH58" s="11">
        <f t="shared" si="15"/>
        <v>3576.2296152765748</v>
      </c>
      <c r="AI58" s="11">
        <f t="shared" si="17"/>
        <v>91108.706865379398</v>
      </c>
      <c r="AJ58" s="11">
        <f>AJ57</f>
        <v>47094.838814471477</v>
      </c>
      <c r="AK58" s="11">
        <f>AJ58*(Z57/(Y57+AE57+AH57))</f>
        <v>12893.183538617503</v>
      </c>
      <c r="AL58" s="11">
        <f>AJ58*(AA57+AE57+AH57)/(Y57+AE57+AH57)</f>
        <v>34201.655275853976</v>
      </c>
      <c r="AM58" s="11">
        <f>MIN(AE57,AL58)</f>
        <v>3460.5687510806079</v>
      </c>
      <c r="AN58" s="11">
        <f>AL58-AM58</f>
        <v>30741.086524773367</v>
      </c>
      <c r="AO58" s="8"/>
      <c r="AP58" s="8"/>
      <c r="AQ58" s="13">
        <f>AN58/AB58+AK58/AB58</f>
        <v>885.11960369845201</v>
      </c>
      <c r="AR58" s="8"/>
      <c r="AS58" s="11">
        <f t="shared" ref="AS58:AS60" si="27">IF((AL58-$AF$6)&lt;0,0,(AL58-$AF$6)*$AF$5)</f>
        <v>3525.594042153461</v>
      </c>
      <c r="AT58" s="11">
        <f>AJ58-AS58</f>
        <v>43569.244772318016</v>
      </c>
    </row>
    <row r="59" spans="1:48" x14ac:dyDescent="0.25">
      <c r="U59" s="8" t="s">
        <v>47</v>
      </c>
      <c r="V59" s="8">
        <f t="shared" si="18"/>
        <v>20</v>
      </c>
      <c r="W59" s="8"/>
      <c r="X59" s="8"/>
      <c r="Y59" s="11">
        <f t="shared" si="19"/>
        <v>44013.868050907913</v>
      </c>
      <c r="Z59" s="11">
        <f t="shared" ref="Z59:Z60" si="28">W59+Z58-AK59</f>
        <v>11261.405833363175</v>
      </c>
      <c r="AA59" s="11">
        <f t="shared" ref="AA59:AA60" si="29">Y59-Z59</f>
        <v>32752.462217544737</v>
      </c>
      <c r="AB59" s="12">
        <f t="shared" ref="AB59:AB60" si="30">AB58*(1+$E$3)</f>
        <v>51.368096713789697</v>
      </c>
      <c r="AC59" s="12"/>
      <c r="AD59" s="13">
        <f t="shared" si="23"/>
        <v>856.83275937090445</v>
      </c>
      <c r="AE59" s="11">
        <f t="shared" si="24"/>
        <v>1232.3883054254215</v>
      </c>
      <c r="AF59" s="11"/>
      <c r="AG59" s="11">
        <f t="shared" si="26"/>
        <v>0</v>
      </c>
      <c r="AH59" s="11">
        <f t="shared" si="15"/>
        <v>1848.5824581381328</v>
      </c>
      <c r="AI59" s="11">
        <f t="shared" si="17"/>
        <v>47094.838814471463</v>
      </c>
      <c r="AJ59" s="11">
        <f>AJ58</f>
        <v>47094.838814471477</v>
      </c>
      <c r="AK59" s="11">
        <f>AJ59*(Z58/(Y58+AE58+AH58))</f>
        <v>12049.704241698595</v>
      </c>
      <c r="AL59" s="11">
        <f>AJ59*(AA58+AE58+AH58)/(Y58+AE58+AH58)</f>
        <v>35045.134572772877</v>
      </c>
      <c r="AM59" s="11">
        <f t="shared" ref="AM59:AM60" si="31">MIN(AE58,AL59)</f>
        <v>2384.1530768510493</v>
      </c>
      <c r="AN59" s="11">
        <f t="shared" ref="AN59:AN60" si="32">AL59-AM59</f>
        <v>32660.981495921827</v>
      </c>
      <c r="AO59" s="8"/>
      <c r="AP59" s="8"/>
      <c r="AQ59" s="13">
        <f t="shared" ref="AQ59:AQ60" si="33">AN59/AB59+AK59/AB59</f>
        <v>870.39794343047754</v>
      </c>
      <c r="AR59" s="8"/>
      <c r="AS59" s="11">
        <f t="shared" si="27"/>
        <v>3694.7116411857005</v>
      </c>
      <c r="AT59" s="11">
        <f t="shared" ref="AT59:AT60" si="34">AJ59-AS59</f>
        <v>43400.127173285779</v>
      </c>
    </row>
    <row r="60" spans="1:48" x14ac:dyDescent="0.25">
      <c r="U60" s="8" t="s">
        <v>47</v>
      </c>
      <c r="V60" s="8">
        <f t="shared" si="18"/>
        <v>21</v>
      </c>
      <c r="W60" s="8"/>
      <c r="X60" s="8"/>
      <c r="Y60" s="11">
        <f t="shared" si="19"/>
        <v>0</v>
      </c>
      <c r="Z60" s="11">
        <f t="shared" si="28"/>
        <v>0</v>
      </c>
      <c r="AA60" s="11">
        <f t="shared" si="29"/>
        <v>0</v>
      </c>
      <c r="AB60" s="12">
        <f t="shared" si="30"/>
        <v>53.525556775768869</v>
      </c>
      <c r="AC60" s="12"/>
      <c r="AD60" s="13">
        <f t="shared" si="23"/>
        <v>0</v>
      </c>
      <c r="AE60" s="11">
        <f t="shared" si="24"/>
        <v>0</v>
      </c>
      <c r="AF60" s="11"/>
      <c r="AG60" s="11">
        <f t="shared" si="26"/>
        <v>0</v>
      </c>
      <c r="AH60" s="11">
        <f t="shared" si="15"/>
        <v>0</v>
      </c>
      <c r="AI60" s="11">
        <f t="shared" si="17"/>
        <v>0</v>
      </c>
      <c r="AJ60" s="11">
        <f>AJ59</f>
        <v>47094.838814471477</v>
      </c>
      <c r="AK60" s="11">
        <f>AJ60*(Z59/(Y59+AE59+AH59))</f>
        <v>11261.405833363178</v>
      </c>
      <c r="AL60" s="11">
        <f>AJ60*(AA59+AE59+AH59)/(Y59+AE59+AH59)</f>
        <v>35833.432981108301</v>
      </c>
      <c r="AM60" s="11">
        <f t="shared" si="31"/>
        <v>1232.3883054254215</v>
      </c>
      <c r="AN60" s="11">
        <f t="shared" si="32"/>
        <v>34601.044675682882</v>
      </c>
      <c r="AO60" s="8"/>
      <c r="AP60" s="8"/>
      <c r="AQ60" s="13">
        <f t="shared" si="33"/>
        <v>856.83275937090457</v>
      </c>
      <c r="AR60" s="8"/>
      <c r="AS60" s="11">
        <f t="shared" si="27"/>
        <v>3852.7654720569531</v>
      </c>
      <c r="AT60" s="11">
        <f t="shared" si="34"/>
        <v>43242.073342414522</v>
      </c>
    </row>
    <row r="61" spans="1:48" x14ac:dyDescent="0.25">
      <c r="A61" s="1" t="s">
        <v>56</v>
      </c>
      <c r="B61" s="3"/>
      <c r="C61" s="3">
        <f>SUM(C39:C60)</f>
        <v>0</v>
      </c>
      <c r="D61" s="3"/>
      <c r="E61" s="3"/>
      <c r="F61" s="3"/>
      <c r="G61" s="3"/>
      <c r="H61" s="3">
        <f>SUM(H39:H60)</f>
        <v>0</v>
      </c>
      <c r="I61" s="3">
        <f>SUM(I39:I60)</f>
        <v>0</v>
      </c>
      <c r="J61" s="3"/>
      <c r="K61" s="3">
        <f>SUM(K39:K60)</f>
        <v>0</v>
      </c>
      <c r="L61" s="3"/>
      <c r="M61" s="3"/>
      <c r="N61" s="3"/>
      <c r="O61" s="3"/>
      <c r="P61" s="5"/>
      <c r="Q61" s="3"/>
      <c r="R61" s="3">
        <f>SUM(R39:R60)</f>
        <v>0</v>
      </c>
      <c r="S61" s="3">
        <f>SUM(S39:S60)</f>
        <v>0</v>
      </c>
      <c r="U61" s="1" t="s">
        <v>56</v>
      </c>
      <c r="W61" s="3">
        <f>SUM(W39:W60)</f>
        <v>50000</v>
      </c>
      <c r="X61" s="3">
        <f>SUM(X39:X60)</f>
        <v>500</v>
      </c>
      <c r="Y61" s="3"/>
      <c r="Z61" s="3"/>
      <c r="AA61" s="3"/>
      <c r="AB61" s="6"/>
      <c r="AC61" s="6"/>
      <c r="AD61" s="5"/>
      <c r="AE61" s="3">
        <f>SUM(AE39:AE60)</f>
        <v>55151.742103154298</v>
      </c>
      <c r="AF61" s="3"/>
      <c r="AG61" s="3"/>
      <c r="AH61" s="3">
        <f>SUM(AH39:AH60)</f>
        <v>82727.613154731473</v>
      </c>
      <c r="AI61" s="3"/>
      <c r="AJ61" s="3"/>
      <c r="AS61" s="3">
        <f>SUM(AS39:AS60)</f>
        <v>14417.709366585077</v>
      </c>
      <c r="AT61" s="3">
        <f>SUM(AT39:AT60)</f>
        <v>173961.64589130084</v>
      </c>
      <c r="AV61" s="3"/>
    </row>
    <row r="62" spans="1:48" x14ac:dyDescent="0.25">
      <c r="A62" s="1" t="s">
        <v>62</v>
      </c>
      <c r="C62" s="3">
        <f>SUM(C39:C56)</f>
        <v>0</v>
      </c>
      <c r="D62" s="3"/>
      <c r="G62" s="5"/>
      <c r="H62" s="3">
        <f>SUM(H39:H56)</f>
        <v>0</v>
      </c>
      <c r="I62" s="3">
        <f>SUM(I39:I56)</f>
        <v>0</v>
      </c>
      <c r="K62" s="3">
        <f>SUM(K39:K56)</f>
        <v>0</v>
      </c>
      <c r="R62" s="3">
        <f>SUM(R39:R56)</f>
        <v>0</v>
      </c>
      <c r="S62" s="3">
        <f>SUM(S39:S56)</f>
        <v>0</v>
      </c>
      <c r="U62" s="1" t="s">
        <v>62</v>
      </c>
      <c r="W62" s="3">
        <f>SUM(W39:W56)</f>
        <v>50000</v>
      </c>
      <c r="X62" s="3">
        <f>SUM(X39:X56)</f>
        <v>500</v>
      </c>
      <c r="Y62" s="3"/>
      <c r="Z62" s="3"/>
      <c r="AA62" s="3"/>
      <c r="AB62" s="6"/>
      <c r="AC62" s="6"/>
      <c r="AD62" s="5"/>
      <c r="AE62" s="3">
        <f>SUM(AE39:AE56)</f>
        <v>48074.631969797221</v>
      </c>
      <c r="AF62" s="3"/>
      <c r="AG62" s="3"/>
      <c r="AH62" s="3">
        <f>SUM(AH39:AH56)</f>
        <v>72111.947954695846</v>
      </c>
      <c r="AI62" s="3"/>
      <c r="AJ62" s="3"/>
      <c r="AS62" s="3">
        <f>SUM(AS39:AS56)</f>
        <v>0</v>
      </c>
      <c r="AT62" s="3">
        <f>SUM(AT39:AT56)</f>
        <v>0</v>
      </c>
      <c r="AV62" s="3"/>
    </row>
    <row r="63" spans="1:48" x14ac:dyDescent="0.25">
      <c r="A63" s="1" t="s">
        <v>47</v>
      </c>
      <c r="C63" s="3">
        <f>SUM(C57:C60)</f>
        <v>0</v>
      </c>
      <c r="D63" s="3"/>
      <c r="G63" s="5"/>
      <c r="H63" s="3">
        <f>SUM(H57:H60)</f>
        <v>0</v>
      </c>
      <c r="I63" s="3">
        <f>SUM(I57:I60)</f>
        <v>0</v>
      </c>
      <c r="K63" s="3">
        <f>SUM(K57:K60)</f>
        <v>0</v>
      </c>
      <c r="R63" s="3">
        <f>SUM(R57:R60)</f>
        <v>0</v>
      </c>
      <c r="S63" s="3">
        <f>SUM(S57:S60)</f>
        <v>0</v>
      </c>
      <c r="U63" s="1" t="s">
        <v>47</v>
      </c>
      <c r="W63" s="3">
        <f>SUM(W57:W60)</f>
        <v>0</v>
      </c>
      <c r="X63" s="3">
        <f>SUM(X57:X60)</f>
        <v>0</v>
      </c>
      <c r="AD63" s="5"/>
      <c r="AE63" s="3">
        <f>SUM(AE57:AE60)</f>
        <v>7077.1101333570787</v>
      </c>
      <c r="AH63" s="3">
        <f>SUM(AH57:AH60)</f>
        <v>10615.665200035621</v>
      </c>
      <c r="AS63" s="3">
        <f>SUM(AS57:AS60)</f>
        <v>14417.709366585077</v>
      </c>
      <c r="AT63" s="3">
        <f>SUM(AT57:AT60)</f>
        <v>173961.64589130084</v>
      </c>
      <c r="AV63" s="3">
        <f>AT63+S63</f>
        <v>173961.64589130084</v>
      </c>
    </row>
    <row r="64" spans="1:48" x14ac:dyDescent="0.25">
      <c r="AA64" s="3"/>
      <c r="AE64" s="5"/>
    </row>
    <row r="65" spans="1:46" x14ac:dyDescent="0.25">
      <c r="L65" s="3"/>
      <c r="Y65" s="3"/>
      <c r="Z65" s="3"/>
      <c r="AA65" s="3"/>
    </row>
    <row r="66" spans="1:46" s="7" customFormat="1" ht="45" x14ac:dyDescent="0.25">
      <c r="A66" s="19" t="s">
        <v>34</v>
      </c>
      <c r="B66" s="10"/>
      <c r="C66" s="10" t="s">
        <v>23</v>
      </c>
      <c r="D66" s="10" t="s">
        <v>22</v>
      </c>
      <c r="E66" s="10" t="s">
        <v>29</v>
      </c>
      <c r="F66" s="10" t="s">
        <v>9</v>
      </c>
      <c r="G66" s="10" t="s">
        <v>11</v>
      </c>
      <c r="H66" s="10" t="s">
        <v>4</v>
      </c>
      <c r="I66" s="10" t="s">
        <v>6</v>
      </c>
      <c r="J66" s="10" t="s">
        <v>32</v>
      </c>
      <c r="K66" s="10" t="s">
        <v>5</v>
      </c>
      <c r="L66" s="10" t="s">
        <v>46</v>
      </c>
      <c r="M66" s="10" t="s">
        <v>19</v>
      </c>
      <c r="N66" s="10" t="s">
        <v>30</v>
      </c>
      <c r="O66" s="10" t="s">
        <v>18</v>
      </c>
      <c r="P66" s="10" t="s">
        <v>17</v>
      </c>
      <c r="Q66" s="10" t="s">
        <v>14</v>
      </c>
      <c r="R66" s="10" t="s">
        <v>54</v>
      </c>
      <c r="S66" s="10" t="s">
        <v>20</v>
      </c>
      <c r="V66" s="10"/>
      <c r="W66" s="10" t="s">
        <v>23</v>
      </c>
      <c r="X66" s="10" t="s">
        <v>24</v>
      </c>
      <c r="Y66" s="10" t="s">
        <v>22</v>
      </c>
      <c r="Z66" s="10" t="s">
        <v>25</v>
      </c>
      <c r="AA66" s="10" t="s">
        <v>26</v>
      </c>
      <c r="AB66" s="10" t="s">
        <v>29</v>
      </c>
      <c r="AC66" s="10" t="s">
        <v>9</v>
      </c>
      <c r="AD66" s="10" t="s">
        <v>11</v>
      </c>
      <c r="AE66" s="10" t="s">
        <v>4</v>
      </c>
      <c r="AF66" s="10" t="s">
        <v>6</v>
      </c>
      <c r="AG66" s="10" t="s">
        <v>32</v>
      </c>
      <c r="AH66" s="10" t="s">
        <v>5</v>
      </c>
      <c r="AI66" s="10" t="s">
        <v>46</v>
      </c>
      <c r="AJ66" s="10" t="s">
        <v>19</v>
      </c>
      <c r="AK66" s="10" t="s">
        <v>27</v>
      </c>
      <c r="AL66" s="10" t="s">
        <v>28</v>
      </c>
      <c r="AM66" s="10" t="s">
        <v>30</v>
      </c>
      <c r="AN66" s="10" t="s">
        <v>31</v>
      </c>
      <c r="AO66" s="10" t="s">
        <v>21</v>
      </c>
      <c r="AP66" s="10" t="s">
        <v>18</v>
      </c>
      <c r="AQ66" s="10" t="s">
        <v>17</v>
      </c>
      <c r="AR66" s="10" t="s">
        <v>14</v>
      </c>
      <c r="AS66" s="10" t="s">
        <v>54</v>
      </c>
      <c r="AT66" s="10" t="s">
        <v>20</v>
      </c>
    </row>
    <row r="67" spans="1:46" x14ac:dyDescent="0.25">
      <c r="B67" s="1">
        <v>0</v>
      </c>
      <c r="C67" s="3">
        <f>50000-W67</f>
        <v>33500</v>
      </c>
      <c r="D67" s="3">
        <f>C67</f>
        <v>33500</v>
      </c>
      <c r="E67" s="6">
        <v>22.56</v>
      </c>
      <c r="F67" s="6">
        <v>22.56</v>
      </c>
      <c r="G67" s="5">
        <f>D67/E67</f>
        <v>1484.9290780141844</v>
      </c>
      <c r="H67" s="3">
        <f>D67*$E$2</f>
        <v>938</v>
      </c>
      <c r="I67" s="3">
        <f>H67*(1-$J$3)</f>
        <v>699.93560000000002</v>
      </c>
      <c r="J67" s="3">
        <f>I67-N68</f>
        <v>0</v>
      </c>
      <c r="K67" s="3">
        <f>D67*$E$3</f>
        <v>1407.0000000000002</v>
      </c>
      <c r="L67" s="3">
        <f>D67+I67+K67</f>
        <v>35606.935599999997</v>
      </c>
      <c r="M67" s="3"/>
      <c r="V67" s="1">
        <v>0</v>
      </c>
      <c r="W67" s="3">
        <v>16500</v>
      </c>
      <c r="X67" s="3">
        <f>MIN(W67*20%,500)</f>
        <v>500</v>
      </c>
      <c r="Y67" s="3">
        <f>W67+X67</f>
        <v>17000</v>
      </c>
      <c r="Z67" s="3">
        <f>W67</f>
        <v>16500</v>
      </c>
      <c r="AA67" s="3">
        <f>Y67-Z67</f>
        <v>500</v>
      </c>
      <c r="AB67" s="6">
        <v>22.56</v>
      </c>
      <c r="AC67" s="6"/>
      <c r="AD67" s="5">
        <f>Y67/AB67</f>
        <v>753.54609929078015</v>
      </c>
      <c r="AE67" s="3">
        <f>Y67*$E$2</f>
        <v>476</v>
      </c>
      <c r="AF67" s="3"/>
      <c r="AG67" s="3">
        <f>AE67-AM68</f>
        <v>476</v>
      </c>
      <c r="AH67" s="3">
        <f t="shared" ref="AH67:AH88" si="35">Y67*$E$3</f>
        <v>714.00000000000011</v>
      </c>
      <c r="AI67" s="3">
        <f>Y67+AE67+AH67</f>
        <v>18190</v>
      </c>
    </row>
    <row r="68" spans="1:46" x14ac:dyDescent="0.25">
      <c r="B68" s="1">
        <f>B67+1</f>
        <v>1</v>
      </c>
      <c r="D68" s="3">
        <f>D67+I67+K67-N68-O68+C68</f>
        <v>33091.052155997852</v>
      </c>
      <c r="E68" s="6">
        <f>E67*(1+$E$3)</f>
        <v>23.50752</v>
      </c>
      <c r="F68" s="6">
        <f>(F67*G67+J67+C68)/G68</f>
        <v>22.56</v>
      </c>
      <c r="G68" s="5">
        <f>G67+(J67+C68)/E68</f>
        <v>1484.9290780141844</v>
      </c>
      <c r="H68" s="3">
        <f t="shared" ref="H68:H88" si="36">D68*$E$2</f>
        <v>926.5494603679399</v>
      </c>
      <c r="I68" s="3">
        <f>H68*(1-$J$3)</f>
        <v>691.3912073265567</v>
      </c>
      <c r="J68" s="3">
        <f t="shared" ref="J68:J88" si="37">I68-N69</f>
        <v>0</v>
      </c>
      <c r="K68" s="3">
        <f>D68*$E$3</f>
        <v>1389.8241905519101</v>
      </c>
      <c r="L68" s="3">
        <f t="shared" ref="L68:L88" si="38">D68+I68+K68</f>
        <v>35172.267553876321</v>
      </c>
      <c r="M68" s="17">
        <v>2515.8834440021456</v>
      </c>
      <c r="N68" s="3">
        <f t="shared" ref="N68:N84" si="39">MIN(M68,I67)</f>
        <v>699.93560000000002</v>
      </c>
      <c r="O68" s="3">
        <f>M68-N68</f>
        <v>1815.9478440021455</v>
      </c>
      <c r="P68" s="5">
        <f>O68/E68</f>
        <v>77.24965645045269</v>
      </c>
      <c r="Q68" s="3">
        <f>(E68-F68)*P68</f>
        <v>73.195594479932993</v>
      </c>
      <c r="R68" s="5">
        <f t="shared" ref="R68:R88" si="40">Q68*$J$4</f>
        <v>15.88344400214546</v>
      </c>
      <c r="S68" s="3">
        <f>M68-R68</f>
        <v>2500</v>
      </c>
      <c r="V68" s="1">
        <f>V67+1</f>
        <v>1</v>
      </c>
      <c r="W68" s="3">
        <f>S68</f>
        <v>2500</v>
      </c>
      <c r="X68" s="3">
        <f t="shared" ref="X68:X84" si="41">MIN(W68*20%,500)</f>
        <v>500</v>
      </c>
      <c r="Y68" s="3">
        <f>AB68*AD68</f>
        <v>21190</v>
      </c>
      <c r="Z68" s="3">
        <f>W68+Z67-AK68</f>
        <v>19000</v>
      </c>
      <c r="AA68" s="3">
        <f>Y68-Z68</f>
        <v>2190</v>
      </c>
      <c r="AB68" s="6">
        <f>AB67*(1+$E$3)</f>
        <v>23.50752</v>
      </c>
      <c r="AC68" s="6"/>
      <c r="AD68" s="5">
        <f>AD67+AG67/AB68+W68/AB68+X68/AB68-AK68/AB68-AN68/AB68</f>
        <v>901.41367528348383</v>
      </c>
      <c r="AE68" s="3">
        <f>Y68*$E$2</f>
        <v>593.32000000000005</v>
      </c>
      <c r="AF68" s="3"/>
      <c r="AG68" s="3">
        <f t="shared" ref="AG68:AG75" si="42">AE68-AM69</f>
        <v>593.32000000000005</v>
      </c>
      <c r="AH68" s="3">
        <f t="shared" si="35"/>
        <v>889.98000000000025</v>
      </c>
      <c r="AI68" s="3">
        <f t="shared" ref="AI68:AI88" si="43">Y68+AE68+AH68</f>
        <v>22673.3</v>
      </c>
    </row>
    <row r="69" spans="1:46" x14ac:dyDescent="0.25">
      <c r="B69" s="1">
        <f t="shared" ref="B69:B88" si="44">B68+1</f>
        <v>2</v>
      </c>
      <c r="D69" s="3">
        <f t="shared" ref="D69:D88" si="45">D68+I68+K68-N69-O69+C69</f>
        <v>32640.726033467738</v>
      </c>
      <c r="E69" s="6">
        <f t="shared" ref="E69:E88" si="46">E68*(1+$E$3)</f>
        <v>24.49483584</v>
      </c>
      <c r="F69" s="6">
        <f t="shared" ref="F69:F70" si="47">(F68*G68+J68+C69)/G69</f>
        <v>22.56</v>
      </c>
      <c r="G69" s="5">
        <f t="shared" ref="G69:G88" si="48">G68+(J68+C69)/E69</f>
        <v>1484.9290780141844</v>
      </c>
      <c r="H69" s="3">
        <f t="shared" si="36"/>
        <v>913.94032893709664</v>
      </c>
      <c r="I69" s="3">
        <f t="shared" ref="I69:I88" si="49">H69*(1-$J$3)</f>
        <v>681.98227345286148</v>
      </c>
      <c r="J69" s="3">
        <f t="shared" si="37"/>
        <v>0</v>
      </c>
      <c r="K69" s="3">
        <f t="shared" ref="K69:K88" si="50">D69*$E$3</f>
        <v>1370.9104934056452</v>
      </c>
      <c r="L69" s="3">
        <f t="shared" si="38"/>
        <v>34693.618800326243</v>
      </c>
      <c r="M69" s="17">
        <v>2531.5415204085816</v>
      </c>
      <c r="N69" s="3">
        <f t="shared" si="39"/>
        <v>691.3912073265567</v>
      </c>
      <c r="O69" s="3">
        <f t="shared" ref="O69:O84" si="51">M69-N69</f>
        <v>1840.1503130820249</v>
      </c>
      <c r="P69" s="5">
        <f t="shared" ref="P69:P84" si="52">O69/E69</f>
        <v>75.124010836482697</v>
      </c>
      <c r="Q69" s="3">
        <f t="shared" ref="Q69:Q84" si="53">(E69-F69)*P69</f>
        <v>145.35262861097522</v>
      </c>
      <c r="R69" s="5">
        <f t="shared" si="40"/>
        <v>31.541520408581622</v>
      </c>
      <c r="S69" s="3">
        <f t="shared" ref="S69:S84" si="54">M69-R69</f>
        <v>2500</v>
      </c>
      <c r="V69" s="1">
        <f t="shared" ref="V69:V88" si="55">V68+1</f>
        <v>2</v>
      </c>
      <c r="W69" s="3">
        <f t="shared" ref="W69:W81" si="56">S69</f>
        <v>2500</v>
      </c>
      <c r="X69" s="3">
        <f t="shared" si="41"/>
        <v>500</v>
      </c>
      <c r="Y69" s="3">
        <f t="shared" ref="Y69:Y88" si="57">AB69*AD69</f>
        <v>25673.3</v>
      </c>
      <c r="Z69" s="3">
        <f t="shared" ref="Z69:Z85" si="58">W69+Z68-AK69</f>
        <v>21500</v>
      </c>
      <c r="AA69" s="3">
        <f t="shared" ref="AA69:AA84" si="59">Y69-Z69</f>
        <v>4173.2999999999993</v>
      </c>
      <c r="AB69" s="6">
        <f t="shared" ref="AB69:AB83" si="60">AB68*(1+$E$3)</f>
        <v>24.49483584</v>
      </c>
      <c r="AC69" s="6"/>
      <c r="AD69" s="5">
        <f t="shared" ref="AD69:AD88" si="61">AD68+AG68/AB69+W69/AB69+X69/AB69-AK69/AB69-AN69/AB69</f>
        <v>1048.1107188346848</v>
      </c>
      <c r="AE69" s="3">
        <f t="shared" ref="AE69:AE88" si="62">Y69*$E$2</f>
        <v>718.85239999999999</v>
      </c>
      <c r="AF69" s="3"/>
      <c r="AG69" s="3">
        <f t="shared" si="42"/>
        <v>718.85239999999999</v>
      </c>
      <c r="AH69" s="3">
        <f t="shared" si="35"/>
        <v>1078.2786000000003</v>
      </c>
      <c r="AI69" s="3">
        <f t="shared" si="43"/>
        <v>27470.431</v>
      </c>
    </row>
    <row r="70" spans="1:46" x14ac:dyDescent="0.25">
      <c r="B70" s="1">
        <f t="shared" si="44"/>
        <v>3</v>
      </c>
      <c r="D70" s="3">
        <f t="shared" si="45"/>
        <v>32146.627131550631</v>
      </c>
      <c r="E70" s="6">
        <f t="shared" si="46"/>
        <v>25.523618945280003</v>
      </c>
      <c r="F70" s="6">
        <f t="shared" si="47"/>
        <v>22.56</v>
      </c>
      <c r="G70" s="5">
        <f t="shared" si="48"/>
        <v>1484.9290780141844</v>
      </c>
      <c r="H70" s="3">
        <f t="shared" si="36"/>
        <v>900.10555968341771</v>
      </c>
      <c r="I70" s="3">
        <f t="shared" si="49"/>
        <v>671.65876863576625</v>
      </c>
      <c r="J70" s="3">
        <f t="shared" si="37"/>
        <v>0</v>
      </c>
      <c r="K70" s="3">
        <f t="shared" si="50"/>
        <v>1350.1583395251268</v>
      </c>
      <c r="L70" s="3">
        <f t="shared" si="38"/>
        <v>34168.444239711527</v>
      </c>
      <c r="M70" s="17">
        <v>2546.9916687756108</v>
      </c>
      <c r="N70" s="3">
        <f t="shared" si="39"/>
        <v>681.98227345286148</v>
      </c>
      <c r="O70" s="3">
        <f t="shared" si="51"/>
        <v>1865.0093953227492</v>
      </c>
      <c r="P70" s="5">
        <f t="shared" si="52"/>
        <v>73.069943542141743</v>
      </c>
      <c r="Q70" s="3">
        <f t="shared" si="53"/>
        <v>216.55146901203156</v>
      </c>
      <c r="R70" s="5">
        <f t="shared" si="40"/>
        <v>46.991668775610847</v>
      </c>
      <c r="S70" s="3">
        <f t="shared" si="54"/>
        <v>2500</v>
      </c>
      <c r="V70" s="1">
        <f t="shared" si="55"/>
        <v>3</v>
      </c>
      <c r="W70" s="3">
        <f t="shared" si="56"/>
        <v>2500</v>
      </c>
      <c r="X70" s="3">
        <f t="shared" si="41"/>
        <v>500</v>
      </c>
      <c r="Y70" s="3">
        <f t="shared" si="57"/>
        <v>30470.431000000004</v>
      </c>
      <c r="Z70" s="3">
        <f t="shared" si="58"/>
        <v>24000</v>
      </c>
      <c r="AA70" s="3">
        <f t="shared" si="59"/>
        <v>6470.4310000000041</v>
      </c>
      <c r="AB70" s="6">
        <f t="shared" si="60"/>
        <v>25.523618945280003</v>
      </c>
      <c r="AC70" s="6"/>
      <c r="AD70" s="5">
        <f t="shared" si="61"/>
        <v>1193.8131134666073</v>
      </c>
      <c r="AE70" s="3">
        <f t="shared" si="62"/>
        <v>853.17206800000008</v>
      </c>
      <c r="AF70" s="3"/>
      <c r="AG70" s="3">
        <f t="shared" si="42"/>
        <v>853.17206800000008</v>
      </c>
      <c r="AH70" s="3">
        <f t="shared" si="35"/>
        <v>1279.7581020000005</v>
      </c>
      <c r="AI70" s="3">
        <f t="shared" si="43"/>
        <v>32603.361170000004</v>
      </c>
    </row>
    <row r="71" spans="1:46" x14ac:dyDescent="0.25">
      <c r="B71" s="1">
        <f t="shared" si="44"/>
        <v>4</v>
      </c>
      <c r="D71" s="3">
        <f t="shared" si="45"/>
        <v>31606.191670035911</v>
      </c>
      <c r="E71" s="6">
        <f t="shared" si="46"/>
        <v>26.595610940981764</v>
      </c>
      <c r="F71" s="6">
        <f>(F70*G70+J70+C71)/G71</f>
        <v>22.56</v>
      </c>
      <c r="G71" s="5">
        <f>G70+(J70+C71)/E71</f>
        <v>1484.9290780141844</v>
      </c>
      <c r="H71" s="3">
        <f t="shared" si="36"/>
        <v>884.97336676100554</v>
      </c>
      <c r="I71" s="3">
        <f t="shared" si="49"/>
        <v>660.36712627706231</v>
      </c>
      <c r="J71" s="3">
        <f t="shared" si="37"/>
        <v>0</v>
      </c>
      <c r="K71" s="3">
        <f t="shared" si="50"/>
        <v>1327.4600501415086</v>
      </c>
      <c r="L71" s="3">
        <f t="shared" si="38"/>
        <v>33594.018846454484</v>
      </c>
      <c r="M71" s="17">
        <v>2562.2525696756156</v>
      </c>
      <c r="N71" s="3">
        <f t="shared" si="39"/>
        <v>671.65876863576625</v>
      </c>
      <c r="O71" s="3">
        <f t="shared" si="51"/>
        <v>1890.5938010398495</v>
      </c>
      <c r="P71" s="5">
        <f t="shared" si="52"/>
        <v>71.086684386956179</v>
      </c>
      <c r="Q71" s="3">
        <f t="shared" si="53"/>
        <v>286.87820127011798</v>
      </c>
      <c r="R71" s="5">
        <f t="shared" si="40"/>
        <v>62.252569675615604</v>
      </c>
      <c r="S71" s="3">
        <f t="shared" si="54"/>
        <v>2500</v>
      </c>
      <c r="V71" s="1">
        <f t="shared" si="55"/>
        <v>4</v>
      </c>
      <c r="W71" s="3">
        <f t="shared" si="56"/>
        <v>2500</v>
      </c>
      <c r="X71" s="3">
        <f t="shared" si="41"/>
        <v>500</v>
      </c>
      <c r="Y71" s="3">
        <f t="shared" si="57"/>
        <v>35603.361170000011</v>
      </c>
      <c r="Z71" s="3">
        <f t="shared" si="58"/>
        <v>26500</v>
      </c>
      <c r="AA71" s="3">
        <f t="shared" si="59"/>
        <v>9103.361170000011</v>
      </c>
      <c r="AB71" s="6">
        <f t="shared" si="60"/>
        <v>26.595610940981764</v>
      </c>
      <c r="AC71" s="6"/>
      <c r="AD71" s="5">
        <f t="shared" si="61"/>
        <v>1338.693111769732</v>
      </c>
      <c r="AE71" s="3">
        <f t="shared" si="62"/>
        <v>996.89411276000033</v>
      </c>
      <c r="AF71" s="3"/>
      <c r="AG71" s="3">
        <f t="shared" si="42"/>
        <v>996.89411276000033</v>
      </c>
      <c r="AH71" s="3">
        <f t="shared" si="35"/>
        <v>1495.3411691400008</v>
      </c>
      <c r="AI71" s="3">
        <f t="shared" si="43"/>
        <v>38095.596451900012</v>
      </c>
    </row>
    <row r="72" spans="1:46" x14ac:dyDescent="0.25">
      <c r="B72" s="1">
        <f t="shared" si="44"/>
        <v>5</v>
      </c>
      <c r="D72" s="3">
        <f t="shared" si="45"/>
        <v>31016.674668328407</v>
      </c>
      <c r="E72" s="6">
        <f t="shared" si="46"/>
        <v>27.712626600503</v>
      </c>
      <c r="F72" s="6">
        <f t="shared" ref="F72:F88" si="63">(F71*G71+J71+C72)/G72</f>
        <v>22.56</v>
      </c>
      <c r="G72" s="5">
        <f t="shared" ref="G72:G88" si="64">G71+(J71+C72)/E72</f>
        <v>1484.9290780141844</v>
      </c>
      <c r="H72" s="3">
        <f t="shared" si="36"/>
        <v>868.46689071319543</v>
      </c>
      <c r="I72" s="3">
        <f t="shared" si="49"/>
        <v>648.04999385018641</v>
      </c>
      <c r="J72" s="3">
        <f t="shared" si="37"/>
        <v>0</v>
      </c>
      <c r="K72" s="3">
        <f t="shared" si="50"/>
        <v>1302.7003360697934</v>
      </c>
      <c r="L72" s="3">
        <f t="shared" si="38"/>
        <v>32967.424998248389</v>
      </c>
      <c r="M72" s="17">
        <v>2577.3441781260749</v>
      </c>
      <c r="N72" s="3">
        <f t="shared" si="39"/>
        <v>660.36712627706231</v>
      </c>
      <c r="O72" s="3">
        <f t="shared" si="51"/>
        <v>1916.9770518490127</v>
      </c>
      <c r="P72" s="5">
        <f t="shared" si="52"/>
        <v>69.173416128452374</v>
      </c>
      <c r="Q72" s="3">
        <f t="shared" si="53"/>
        <v>356.42478399112707</v>
      </c>
      <c r="R72" s="5">
        <f t="shared" si="40"/>
        <v>77.344178126074567</v>
      </c>
      <c r="S72" s="3">
        <f t="shared" si="54"/>
        <v>2500.0000000000005</v>
      </c>
      <c r="V72" s="1">
        <f t="shared" si="55"/>
        <v>5</v>
      </c>
      <c r="W72" s="3">
        <f t="shared" si="56"/>
        <v>2500.0000000000005</v>
      </c>
      <c r="X72" s="3">
        <f t="shared" si="41"/>
        <v>500</v>
      </c>
      <c r="Y72" s="3">
        <f t="shared" si="57"/>
        <v>41095.596451900019</v>
      </c>
      <c r="Z72" s="3">
        <f t="shared" si="58"/>
        <v>29000</v>
      </c>
      <c r="AA72" s="3">
        <f t="shared" si="59"/>
        <v>12095.596451900019</v>
      </c>
      <c r="AB72" s="6">
        <f t="shared" si="60"/>
        <v>27.712626600503</v>
      </c>
      <c r="AC72" s="6"/>
      <c r="AD72" s="5">
        <f t="shared" si="61"/>
        <v>1482.9195746878106</v>
      </c>
      <c r="AE72" s="3">
        <f t="shared" si="62"/>
        <v>1150.6767006532007</v>
      </c>
      <c r="AF72" s="3"/>
      <c r="AG72" s="3">
        <f t="shared" si="42"/>
        <v>1150.6767006532007</v>
      </c>
      <c r="AH72" s="3">
        <f t="shared" si="35"/>
        <v>1726.0150509798011</v>
      </c>
      <c r="AI72" s="3">
        <f t="shared" si="43"/>
        <v>43972.288203533026</v>
      </c>
    </row>
    <row r="73" spans="1:46" x14ac:dyDescent="0.25">
      <c r="B73" s="1">
        <f t="shared" si="44"/>
        <v>6</v>
      </c>
      <c r="D73" s="3">
        <f t="shared" si="45"/>
        <v>30375.137236338229</v>
      </c>
      <c r="E73" s="6">
        <f t="shared" si="46"/>
        <v>28.876556917724127</v>
      </c>
      <c r="F73" s="6">
        <f t="shared" si="63"/>
        <v>22.56</v>
      </c>
      <c r="G73" s="5">
        <f t="shared" si="64"/>
        <v>1484.9290780141844</v>
      </c>
      <c r="H73" s="3">
        <f t="shared" si="36"/>
        <v>850.50384261747047</v>
      </c>
      <c r="I73" s="3">
        <f t="shared" si="49"/>
        <v>634.64596736115641</v>
      </c>
      <c r="J73" s="3">
        <f t="shared" si="37"/>
        <v>0</v>
      </c>
      <c r="K73" s="3">
        <f t="shared" si="50"/>
        <v>1275.7557639262059</v>
      </c>
      <c r="L73" s="3">
        <f t="shared" si="38"/>
        <v>32285.538967625591</v>
      </c>
      <c r="M73" s="17">
        <v>2592.2877619101605</v>
      </c>
      <c r="N73" s="3">
        <f t="shared" si="39"/>
        <v>648.04999385018641</v>
      </c>
      <c r="O73" s="3">
        <f t="shared" si="51"/>
        <v>1944.2377680599741</v>
      </c>
      <c r="P73" s="5">
        <f t="shared" si="52"/>
        <v>67.329279373560681</v>
      </c>
      <c r="Q73" s="3">
        <f t="shared" si="53"/>
        <v>425.28922539244519</v>
      </c>
      <c r="R73" s="5">
        <f t="shared" si="40"/>
        <v>92.287761910160611</v>
      </c>
      <c r="S73" s="3">
        <f t="shared" si="54"/>
        <v>2500</v>
      </c>
      <c r="V73" s="1">
        <f t="shared" si="55"/>
        <v>6</v>
      </c>
      <c r="W73" s="3">
        <f t="shared" si="56"/>
        <v>2500</v>
      </c>
      <c r="X73" s="3">
        <f t="shared" si="41"/>
        <v>500</v>
      </c>
      <c r="Y73" s="3">
        <f t="shared" si="57"/>
        <v>46972.288203533019</v>
      </c>
      <c r="Z73" s="3">
        <f t="shared" si="58"/>
        <v>31500</v>
      </c>
      <c r="AA73" s="3">
        <f t="shared" si="59"/>
        <v>15472.288203533019</v>
      </c>
      <c r="AB73" s="6">
        <f t="shared" si="60"/>
        <v>28.876556917724127</v>
      </c>
      <c r="AC73" s="6"/>
      <c r="AD73" s="5">
        <f t="shared" si="61"/>
        <v>1626.6582036552261</v>
      </c>
      <c r="AE73" s="3">
        <f t="shared" si="62"/>
        <v>1315.2240696989245</v>
      </c>
      <c r="AF73" s="3"/>
      <c r="AG73" s="3">
        <f t="shared" si="42"/>
        <v>1315.2240696989245</v>
      </c>
      <c r="AH73" s="3">
        <f t="shared" si="35"/>
        <v>1972.8361045483873</v>
      </c>
      <c r="AI73" s="3">
        <f t="shared" si="43"/>
        <v>50260.348377780334</v>
      </c>
    </row>
    <row r="74" spans="1:46" x14ac:dyDescent="0.25">
      <c r="B74" s="1">
        <f t="shared" si="44"/>
        <v>7</v>
      </c>
      <c r="D74" s="3">
        <f t="shared" si="45"/>
        <v>29678.433022431669</v>
      </c>
      <c r="E74" s="6">
        <f t="shared" si="46"/>
        <v>30.08937230826854</v>
      </c>
      <c r="F74" s="6">
        <f t="shared" si="63"/>
        <v>22.56</v>
      </c>
      <c r="G74" s="5">
        <f t="shared" si="64"/>
        <v>1484.9290780141844</v>
      </c>
      <c r="H74" s="3">
        <f t="shared" si="36"/>
        <v>830.9961246280867</v>
      </c>
      <c r="I74" s="3">
        <f t="shared" si="49"/>
        <v>620.08930819747832</v>
      </c>
      <c r="J74" s="3">
        <f t="shared" si="37"/>
        <v>0</v>
      </c>
      <c r="K74" s="3">
        <f t="shared" si="50"/>
        <v>1246.4941869421305</v>
      </c>
      <c r="L74" s="3">
        <f t="shared" si="38"/>
        <v>31545.016517571279</v>
      </c>
      <c r="M74" s="17">
        <v>2607.10594519392</v>
      </c>
      <c r="N74" s="3">
        <f t="shared" si="39"/>
        <v>634.64596736115641</v>
      </c>
      <c r="O74" s="3">
        <f t="shared" si="51"/>
        <v>1972.4599778327636</v>
      </c>
      <c r="P74" s="5">
        <f t="shared" si="52"/>
        <v>65.55337737273878</v>
      </c>
      <c r="Q74" s="3">
        <f t="shared" si="53"/>
        <v>493.57578430377697</v>
      </c>
      <c r="R74" s="5">
        <f t="shared" si="40"/>
        <v>107.1059451939196</v>
      </c>
      <c r="S74" s="3">
        <f t="shared" si="54"/>
        <v>2500.0000000000005</v>
      </c>
      <c r="V74" s="1">
        <f t="shared" si="55"/>
        <v>7</v>
      </c>
      <c r="W74" s="3">
        <f t="shared" si="56"/>
        <v>2500.0000000000005</v>
      </c>
      <c r="X74" s="3">
        <f t="shared" si="41"/>
        <v>500</v>
      </c>
      <c r="Y74" s="3">
        <f t="shared" si="57"/>
        <v>53260.348377780341</v>
      </c>
      <c r="Z74" s="3">
        <f t="shared" si="58"/>
        <v>34000</v>
      </c>
      <c r="AA74" s="3">
        <f t="shared" si="59"/>
        <v>19260.348377780341</v>
      </c>
      <c r="AB74" s="6">
        <f t="shared" si="60"/>
        <v>30.08937230826854</v>
      </c>
      <c r="AC74" s="6"/>
      <c r="AD74" s="5">
        <f t="shared" si="61"/>
        <v>1770.0717659419047</v>
      </c>
      <c r="AE74" s="3">
        <f t="shared" si="62"/>
        <v>1491.2897545778496</v>
      </c>
      <c r="AF74" s="3"/>
      <c r="AG74" s="3">
        <f t="shared" si="42"/>
        <v>1491.2897545778496</v>
      </c>
      <c r="AH74" s="3">
        <f t="shared" si="35"/>
        <v>2236.9346318667749</v>
      </c>
      <c r="AI74" s="3">
        <f t="shared" si="43"/>
        <v>56988.572764224962</v>
      </c>
    </row>
    <row r="75" spans="1:46" x14ac:dyDescent="0.25">
      <c r="B75" s="1">
        <f t="shared" si="44"/>
        <v>8</v>
      </c>
      <c r="D75" s="3">
        <f t="shared" si="45"/>
        <v>28923.193759718532</v>
      </c>
      <c r="E75" s="6">
        <f t="shared" si="46"/>
        <v>31.353125945215819</v>
      </c>
      <c r="F75" s="6">
        <f t="shared" si="63"/>
        <v>22.56</v>
      </c>
      <c r="G75" s="5">
        <f t="shared" si="64"/>
        <v>1484.9290780141844</v>
      </c>
      <c r="H75" s="3">
        <f t="shared" si="36"/>
        <v>809.84942527211888</v>
      </c>
      <c r="I75" s="3">
        <f t="shared" si="49"/>
        <v>604.3096411380551</v>
      </c>
      <c r="J75" s="3">
        <f t="shared" si="37"/>
        <v>0</v>
      </c>
      <c r="K75" s="3">
        <f t="shared" si="50"/>
        <v>1214.7741379081785</v>
      </c>
      <c r="L75" s="3">
        <f t="shared" si="38"/>
        <v>30742.277538764763</v>
      </c>
      <c r="M75" s="17">
        <v>2621.8227578527467</v>
      </c>
      <c r="N75" s="3">
        <f t="shared" si="39"/>
        <v>620.08930819747832</v>
      </c>
      <c r="O75" s="3">
        <f t="shared" si="51"/>
        <v>2001.7334496552685</v>
      </c>
      <c r="P75" s="5">
        <f t="shared" si="52"/>
        <v>63.844780681612178</v>
      </c>
      <c r="Q75" s="3">
        <f t="shared" si="53"/>
        <v>561.39519747809777</v>
      </c>
      <c r="R75" s="5">
        <f t="shared" si="40"/>
        <v>121.82275785274722</v>
      </c>
      <c r="S75" s="3">
        <f t="shared" si="54"/>
        <v>2499.9999999999995</v>
      </c>
      <c r="V75" s="1">
        <f t="shared" si="55"/>
        <v>8</v>
      </c>
      <c r="W75" s="3">
        <f t="shared" si="56"/>
        <v>2499.9999999999995</v>
      </c>
      <c r="X75" s="3">
        <f t="shared" si="41"/>
        <v>499.99999999999994</v>
      </c>
      <c r="Y75" s="3">
        <f t="shared" si="57"/>
        <v>59988.572764224969</v>
      </c>
      <c r="Z75" s="3">
        <f t="shared" si="58"/>
        <v>36500</v>
      </c>
      <c r="AA75" s="3">
        <f t="shared" si="59"/>
        <v>23488.572764224969</v>
      </c>
      <c r="AB75" s="6">
        <f t="shared" si="60"/>
        <v>31.353125945215819</v>
      </c>
      <c r="AC75" s="6"/>
      <c r="AD75" s="5">
        <f t="shared" si="61"/>
        <v>1913.3203135484689</v>
      </c>
      <c r="AE75" s="3">
        <f t="shared" si="62"/>
        <v>1679.6800373982992</v>
      </c>
      <c r="AF75" s="3"/>
      <c r="AG75" s="3">
        <f t="shared" si="42"/>
        <v>1679.6800373982992</v>
      </c>
      <c r="AH75" s="3">
        <f t="shared" si="35"/>
        <v>2519.5200560974495</v>
      </c>
      <c r="AI75" s="3">
        <f t="shared" si="43"/>
        <v>64187.772857720716</v>
      </c>
    </row>
    <row r="76" spans="1:46" x14ac:dyDescent="0.25">
      <c r="B76" s="1">
        <f t="shared" si="44"/>
        <v>9</v>
      </c>
      <c r="D76" s="3">
        <f t="shared" si="45"/>
        <v>28105.813847835485</v>
      </c>
      <c r="E76" s="6">
        <f t="shared" si="46"/>
        <v>32.669957234914882</v>
      </c>
      <c r="F76" s="6">
        <f t="shared" si="63"/>
        <v>22.56</v>
      </c>
      <c r="G76" s="5">
        <f t="shared" si="64"/>
        <v>1484.9290780141844</v>
      </c>
      <c r="H76" s="3">
        <f t="shared" si="36"/>
        <v>786.96278773939355</v>
      </c>
      <c r="I76" s="3">
        <f t="shared" si="49"/>
        <v>587.23163221113543</v>
      </c>
      <c r="J76" s="3">
        <f t="shared" si="37"/>
        <v>0</v>
      </c>
      <c r="K76" s="3">
        <f t="shared" si="50"/>
        <v>1180.4441816090907</v>
      </c>
      <c r="L76" s="3">
        <f t="shared" si="38"/>
        <v>29873.489661655713</v>
      </c>
      <c r="M76" s="17">
        <v>2636.4636909292794</v>
      </c>
      <c r="N76" s="3">
        <f t="shared" si="39"/>
        <v>604.3096411380551</v>
      </c>
      <c r="O76" s="3">
        <f t="shared" si="51"/>
        <v>2032.1540497912242</v>
      </c>
      <c r="P76" s="5">
        <f t="shared" si="52"/>
        <v>62.202531677006</v>
      </c>
      <c r="Q76" s="3">
        <f t="shared" si="53"/>
        <v>628.86493515796906</v>
      </c>
      <c r="R76" s="5">
        <f t="shared" si="40"/>
        <v>136.4636909292793</v>
      </c>
      <c r="S76" s="3">
        <f t="shared" si="54"/>
        <v>2500</v>
      </c>
      <c r="V76" s="1">
        <f t="shared" si="55"/>
        <v>9</v>
      </c>
      <c r="W76" s="3">
        <f t="shared" si="56"/>
        <v>2500</v>
      </c>
      <c r="X76" s="3">
        <f t="shared" si="41"/>
        <v>500</v>
      </c>
      <c r="Y76" s="3">
        <f t="shared" si="57"/>
        <v>67187.772857720716</v>
      </c>
      <c r="Z76" s="3">
        <f t="shared" si="58"/>
        <v>39000</v>
      </c>
      <c r="AA76" s="3">
        <f t="shared" si="59"/>
        <v>28187.772857720716</v>
      </c>
      <c r="AB76" s="6">
        <f t="shared" si="60"/>
        <v>32.669957234914882</v>
      </c>
      <c r="AC76" s="6"/>
      <c r="AD76" s="5">
        <f t="shared" si="61"/>
        <v>2056.561395982365</v>
      </c>
      <c r="AE76" s="3">
        <f t="shared" si="62"/>
        <v>1881.2576400161802</v>
      </c>
      <c r="AF76" s="3"/>
      <c r="AG76" s="3">
        <f>AE76-AM77</f>
        <v>1881.2576400161802</v>
      </c>
      <c r="AH76" s="3">
        <f t="shared" si="35"/>
        <v>2821.8864600242709</v>
      </c>
      <c r="AI76" s="3">
        <f t="shared" si="43"/>
        <v>71890.916957761161</v>
      </c>
    </row>
    <row r="77" spans="1:46" x14ac:dyDescent="0.25">
      <c r="B77" s="1">
        <f t="shared" si="44"/>
        <v>10</v>
      </c>
      <c r="D77" s="3">
        <f t="shared" si="45"/>
        <v>27222.433902999626</v>
      </c>
      <c r="E77" s="6">
        <f t="shared" si="46"/>
        <v>34.04209543878131</v>
      </c>
      <c r="F77" s="6">
        <f t="shared" si="63"/>
        <v>22.56</v>
      </c>
      <c r="G77" s="5">
        <f t="shared" si="64"/>
        <v>1484.9290780141844</v>
      </c>
      <c r="H77" s="3">
        <f t="shared" si="36"/>
        <v>762.22814928398952</v>
      </c>
      <c r="I77" s="3">
        <f t="shared" si="49"/>
        <v>568.77464499571295</v>
      </c>
      <c r="J77" s="3">
        <f t="shared" si="37"/>
        <v>0</v>
      </c>
      <c r="K77" s="3">
        <f t="shared" si="50"/>
        <v>1143.3422239259846</v>
      </c>
      <c r="L77" s="3">
        <f t="shared" si="38"/>
        <v>28934.550771921324</v>
      </c>
      <c r="M77" s="17">
        <v>2651.0557586560858</v>
      </c>
      <c r="N77" s="3">
        <f t="shared" si="39"/>
        <v>587.23163221113543</v>
      </c>
      <c r="O77" s="3">
        <f t="shared" si="51"/>
        <v>2063.8241264449503</v>
      </c>
      <c r="P77" s="5">
        <f t="shared" si="52"/>
        <v>60.62564891624762</v>
      </c>
      <c r="Q77" s="3">
        <f t="shared" si="53"/>
        <v>696.10948689440397</v>
      </c>
      <c r="R77" s="5">
        <f t="shared" si="40"/>
        <v>151.05575865608566</v>
      </c>
      <c r="S77" s="3">
        <f t="shared" si="54"/>
        <v>2500</v>
      </c>
      <c r="V77" s="1">
        <f t="shared" si="55"/>
        <v>10</v>
      </c>
      <c r="W77" s="3">
        <f t="shared" si="56"/>
        <v>2500</v>
      </c>
      <c r="X77" s="3">
        <f t="shared" si="41"/>
        <v>500</v>
      </c>
      <c r="Y77" s="3">
        <f t="shared" si="57"/>
        <v>74890.916957761176</v>
      </c>
      <c r="Z77" s="3">
        <f t="shared" si="58"/>
        <v>41500</v>
      </c>
      <c r="AA77" s="3">
        <f t="shared" si="59"/>
        <v>33390.916957761176</v>
      </c>
      <c r="AB77" s="6">
        <f t="shared" si="60"/>
        <v>34.04209543878131</v>
      </c>
      <c r="AC77" s="6"/>
      <c r="AD77" s="5">
        <f t="shared" si="61"/>
        <v>2199.9502672342614</v>
      </c>
      <c r="AE77" s="3">
        <f t="shared" si="62"/>
        <v>2096.9456748173129</v>
      </c>
      <c r="AF77" s="3"/>
      <c r="AG77" s="3">
        <f t="shared" ref="AG77:AG83" si="65">AE77-AM78</f>
        <v>2096.9456748173129</v>
      </c>
      <c r="AH77" s="3">
        <f t="shared" si="35"/>
        <v>3145.4185122259701</v>
      </c>
      <c r="AI77" s="3">
        <f t="shared" si="43"/>
        <v>80133.281144804452</v>
      </c>
    </row>
    <row r="78" spans="1:46" x14ac:dyDescent="0.25">
      <c r="B78" s="1">
        <f t="shared" si="44"/>
        <v>11</v>
      </c>
      <c r="D78" s="3">
        <f t="shared" si="45"/>
        <v>26268.923204431409</v>
      </c>
      <c r="E78" s="6">
        <f t="shared" si="46"/>
        <v>35.471863447210126</v>
      </c>
      <c r="F78" s="6">
        <f t="shared" si="63"/>
        <v>22.56</v>
      </c>
      <c r="G78" s="5">
        <f t="shared" si="64"/>
        <v>1484.9290780141844</v>
      </c>
      <c r="H78" s="3">
        <f t="shared" si="36"/>
        <v>735.52984972407944</v>
      </c>
      <c r="I78" s="3">
        <f t="shared" si="49"/>
        <v>548.85237386410802</v>
      </c>
      <c r="J78" s="3">
        <f t="shared" si="37"/>
        <v>0</v>
      </c>
      <c r="K78" s="3">
        <f t="shared" si="50"/>
        <v>1103.2947745861195</v>
      </c>
      <c r="L78" s="3">
        <f t="shared" si="38"/>
        <v>27921.070352881638</v>
      </c>
      <c r="M78" s="17">
        <v>2665.6275674899166</v>
      </c>
      <c r="N78" s="3">
        <f t="shared" si="39"/>
        <v>568.77464499571295</v>
      </c>
      <c r="O78" s="3">
        <f t="shared" si="51"/>
        <v>2096.8529224942035</v>
      </c>
      <c r="P78" s="5">
        <f t="shared" si="52"/>
        <v>59.113131330548178</v>
      </c>
      <c r="Q78" s="3">
        <f t="shared" si="53"/>
        <v>763.26067967703682</v>
      </c>
      <c r="R78" s="5">
        <f t="shared" si="40"/>
        <v>165.627567489917</v>
      </c>
      <c r="S78" s="3">
        <f t="shared" si="54"/>
        <v>2499.9999999999995</v>
      </c>
      <c r="V78" s="1">
        <f t="shared" si="55"/>
        <v>11</v>
      </c>
      <c r="W78" s="3">
        <f t="shared" si="56"/>
        <v>2499.9999999999995</v>
      </c>
      <c r="X78" s="3">
        <f t="shared" si="41"/>
        <v>499.99999999999994</v>
      </c>
      <c r="Y78" s="3">
        <f t="shared" si="57"/>
        <v>83133.281144804481</v>
      </c>
      <c r="Z78" s="3">
        <f t="shared" si="58"/>
        <v>44000</v>
      </c>
      <c r="AA78" s="3">
        <f t="shared" si="59"/>
        <v>39133.281144804481</v>
      </c>
      <c r="AB78" s="6">
        <f t="shared" si="60"/>
        <v>35.471863447210126</v>
      </c>
      <c r="AC78" s="6"/>
      <c r="AD78" s="5">
        <f t="shared" si="61"/>
        <v>2343.6400872631048</v>
      </c>
      <c r="AE78" s="3">
        <f t="shared" si="62"/>
        <v>2327.7318720545254</v>
      </c>
      <c r="AF78" s="3"/>
      <c r="AG78" s="3">
        <f t="shared" si="65"/>
        <v>2327.7318720545254</v>
      </c>
      <c r="AH78" s="3">
        <f t="shared" si="35"/>
        <v>3491.597808081789</v>
      </c>
      <c r="AI78" s="3">
        <f t="shared" si="43"/>
        <v>88952.610824940799</v>
      </c>
    </row>
    <row r="79" spans="1:46" x14ac:dyDescent="0.25">
      <c r="B79" s="1">
        <f t="shared" si="44"/>
        <v>12</v>
      </c>
      <c r="D79" s="3">
        <f t="shared" si="45"/>
        <v>25240.860960261765</v>
      </c>
      <c r="E79" s="6">
        <f t="shared" si="46"/>
        <v>36.961681711992952</v>
      </c>
      <c r="F79" s="6">
        <f t="shared" si="63"/>
        <v>22.56</v>
      </c>
      <c r="G79" s="5">
        <f t="shared" si="64"/>
        <v>1484.9290780141844</v>
      </c>
      <c r="H79" s="3">
        <f t="shared" si="36"/>
        <v>706.74410688732939</v>
      </c>
      <c r="I79" s="3">
        <f t="shared" si="49"/>
        <v>527.37245255932521</v>
      </c>
      <c r="J79" s="3">
        <f t="shared" si="37"/>
        <v>0</v>
      </c>
      <c r="K79" s="3">
        <f t="shared" si="50"/>
        <v>1060.1161603309945</v>
      </c>
      <c r="L79" s="3">
        <f t="shared" si="38"/>
        <v>26828.349573152085</v>
      </c>
      <c r="M79" s="17">
        <v>2680.2093926198695</v>
      </c>
      <c r="N79" s="3">
        <f t="shared" si="39"/>
        <v>548.85237386410802</v>
      </c>
      <c r="O79" s="3">
        <f t="shared" si="51"/>
        <v>2131.3570187557616</v>
      </c>
      <c r="P79" s="5">
        <f t="shared" si="52"/>
        <v>57.663962245099917</v>
      </c>
      <c r="Q79" s="3">
        <f t="shared" si="53"/>
        <v>830.45803050630764</v>
      </c>
      <c r="R79" s="5">
        <f t="shared" si="40"/>
        <v>180.20939261986877</v>
      </c>
      <c r="S79" s="3">
        <f t="shared" si="54"/>
        <v>2500.0000000000009</v>
      </c>
      <c r="V79" s="1">
        <f t="shared" si="55"/>
        <v>12</v>
      </c>
      <c r="W79" s="3">
        <f t="shared" si="56"/>
        <v>2500.0000000000009</v>
      </c>
      <c r="X79" s="3">
        <f t="shared" si="41"/>
        <v>500</v>
      </c>
      <c r="Y79" s="3">
        <f t="shared" si="57"/>
        <v>91952.610824940799</v>
      </c>
      <c r="Z79" s="3">
        <f t="shared" si="58"/>
        <v>46500</v>
      </c>
      <c r="AA79" s="3">
        <f t="shared" si="59"/>
        <v>45452.610824940799</v>
      </c>
      <c r="AB79" s="6">
        <f t="shared" si="60"/>
        <v>36.961681711992952</v>
      </c>
      <c r="AC79" s="6"/>
      <c r="AD79" s="5">
        <f t="shared" si="61"/>
        <v>2487.7821182877874</v>
      </c>
      <c r="AE79" s="3">
        <f t="shared" si="62"/>
        <v>2574.6731030983424</v>
      </c>
      <c r="AF79" s="3"/>
      <c r="AG79" s="3">
        <f t="shared" si="65"/>
        <v>2574.6731030983424</v>
      </c>
      <c r="AH79" s="3">
        <f t="shared" si="35"/>
        <v>3862.0096546475143</v>
      </c>
      <c r="AI79" s="3">
        <f t="shared" si="43"/>
        <v>98389.293582686645</v>
      </c>
    </row>
    <row r="80" spans="1:46" x14ac:dyDescent="0.25">
      <c r="B80" s="1">
        <f t="shared" si="44"/>
        <v>13</v>
      </c>
      <c r="D80" s="3">
        <f t="shared" si="45"/>
        <v>24133.516310722196</v>
      </c>
      <c r="E80" s="6">
        <f t="shared" si="46"/>
        <v>38.514072343896657</v>
      </c>
      <c r="F80" s="6">
        <f t="shared" si="63"/>
        <v>22.56</v>
      </c>
      <c r="G80" s="5">
        <f t="shared" si="64"/>
        <v>1484.9290780141844</v>
      </c>
      <c r="H80" s="3">
        <f t="shared" si="36"/>
        <v>675.73845670022149</v>
      </c>
      <c r="I80" s="3">
        <f t="shared" si="49"/>
        <v>504.23603638970525</v>
      </c>
      <c r="J80" s="3">
        <f t="shared" si="37"/>
        <v>0</v>
      </c>
      <c r="K80" s="3">
        <f t="shared" si="50"/>
        <v>1013.6076850503325</v>
      </c>
      <c r="L80" s="3">
        <f t="shared" si="38"/>
        <v>25651.360032162236</v>
      </c>
      <c r="M80" s="17">
        <v>2694.8332624298896</v>
      </c>
      <c r="N80" s="3">
        <f t="shared" si="39"/>
        <v>527.37245255932521</v>
      </c>
      <c r="O80" s="3">
        <f t="shared" si="51"/>
        <v>2167.4608098705644</v>
      </c>
      <c r="P80" s="5">
        <f t="shared" si="52"/>
        <v>56.277113220255011</v>
      </c>
      <c r="Q80" s="3">
        <f t="shared" si="53"/>
        <v>897.84913562161148</v>
      </c>
      <c r="R80" s="5">
        <f t="shared" si="40"/>
        <v>194.83326242988969</v>
      </c>
      <c r="S80" s="3">
        <f t="shared" si="54"/>
        <v>2500</v>
      </c>
      <c r="V80" s="1">
        <f t="shared" si="55"/>
        <v>13</v>
      </c>
      <c r="W80" s="3">
        <f t="shared" si="56"/>
        <v>2500</v>
      </c>
      <c r="X80" s="3">
        <f t="shared" si="41"/>
        <v>500</v>
      </c>
      <c r="Y80" s="3">
        <f t="shared" si="57"/>
        <v>101389.29358268666</v>
      </c>
      <c r="Z80" s="3">
        <f t="shared" si="58"/>
        <v>49000</v>
      </c>
      <c r="AA80" s="3">
        <f t="shared" si="59"/>
        <v>52389.29358268666</v>
      </c>
      <c r="AB80" s="6">
        <f t="shared" si="60"/>
        <v>38.514072343896657</v>
      </c>
      <c r="AC80" s="6"/>
      <c r="AD80" s="5">
        <f t="shared" si="61"/>
        <v>2632.5259161734389</v>
      </c>
      <c r="AE80" s="3">
        <f t="shared" si="62"/>
        <v>2838.9002203152263</v>
      </c>
      <c r="AF80" s="3"/>
      <c r="AG80" s="3">
        <f t="shared" si="65"/>
        <v>2838.9002203152263</v>
      </c>
      <c r="AH80" s="3">
        <f t="shared" si="35"/>
        <v>4258.3503304728411</v>
      </c>
      <c r="AI80" s="3">
        <f t="shared" si="43"/>
        <v>108486.54413347472</v>
      </c>
    </row>
    <row r="81" spans="1:48" x14ac:dyDescent="0.25">
      <c r="B81" s="1">
        <f t="shared" si="44"/>
        <v>14</v>
      </c>
      <c r="D81" s="3">
        <f t="shared" si="45"/>
        <v>24599.310321889981</v>
      </c>
      <c r="E81" s="6">
        <f t="shared" si="46"/>
        <v>40.131663382340321</v>
      </c>
      <c r="F81" s="6">
        <f t="shared" si="63"/>
        <v>22.56</v>
      </c>
      <c r="G81" s="5">
        <f t="shared" si="64"/>
        <v>1484.9290780141844</v>
      </c>
      <c r="H81" s="3">
        <f t="shared" si="36"/>
        <v>688.78068901291954</v>
      </c>
      <c r="I81" s="3">
        <f t="shared" si="49"/>
        <v>513.96815014144056</v>
      </c>
      <c r="J81" s="3">
        <f t="shared" si="37"/>
        <v>513.96815014144056</v>
      </c>
      <c r="K81" s="3">
        <f t="shared" si="50"/>
        <v>1033.1710335193795</v>
      </c>
      <c r="L81" s="3">
        <f t="shared" si="38"/>
        <v>26146.449505550801</v>
      </c>
      <c r="M81" s="17">
        <v>1052.0497102722552</v>
      </c>
      <c r="N81" s="3">
        <f t="shared" si="39"/>
        <v>504.23603638970525</v>
      </c>
      <c r="O81" s="3">
        <f t="shared" si="51"/>
        <v>547.81367388254989</v>
      </c>
      <c r="P81" s="5">
        <f t="shared" si="52"/>
        <v>13.650410367082161</v>
      </c>
      <c r="Q81" s="3">
        <f t="shared" si="53"/>
        <v>239.86041600117633</v>
      </c>
      <c r="R81" s="5">
        <f t="shared" si="40"/>
        <v>52.049710272255261</v>
      </c>
      <c r="S81" s="3">
        <f t="shared" si="54"/>
        <v>999.99999999999989</v>
      </c>
      <c r="V81" s="1">
        <f t="shared" si="55"/>
        <v>14</v>
      </c>
      <c r="W81" s="3">
        <f t="shared" si="56"/>
        <v>999.99999999999989</v>
      </c>
      <c r="X81" s="3">
        <f t="shared" si="41"/>
        <v>200</v>
      </c>
      <c r="Y81" s="3">
        <f t="shared" si="57"/>
        <v>109686.54413347472</v>
      </c>
      <c r="Z81" s="3">
        <f t="shared" si="58"/>
        <v>50000</v>
      </c>
      <c r="AA81" s="3">
        <f t="shared" si="59"/>
        <v>59686.544133474716</v>
      </c>
      <c r="AB81" s="6">
        <f t="shared" si="60"/>
        <v>40.131663382340321</v>
      </c>
      <c r="AC81" s="6"/>
      <c r="AD81" s="5">
        <f t="shared" si="61"/>
        <v>2733.1671525417401</v>
      </c>
      <c r="AE81" s="3">
        <f t="shared" si="62"/>
        <v>3071.2232357372923</v>
      </c>
      <c r="AF81" s="3"/>
      <c r="AG81" s="3">
        <f t="shared" si="65"/>
        <v>3071.2232357372923</v>
      </c>
      <c r="AH81" s="3">
        <f t="shared" si="35"/>
        <v>4606.8348536059393</v>
      </c>
      <c r="AI81" s="3">
        <f t="shared" si="43"/>
        <v>117364.60222281794</v>
      </c>
    </row>
    <row r="82" spans="1:48" x14ac:dyDescent="0.25">
      <c r="B82" s="1">
        <f t="shared" si="44"/>
        <v>15</v>
      </c>
      <c r="D82" s="3">
        <f t="shared" si="45"/>
        <v>26146.449505550801</v>
      </c>
      <c r="E82" s="6">
        <f t="shared" si="46"/>
        <v>41.817193244398617</v>
      </c>
      <c r="F82" s="6">
        <f t="shared" si="63"/>
        <v>22.718084293230465</v>
      </c>
      <c r="G82" s="5">
        <f t="shared" si="64"/>
        <v>1497.219911287895</v>
      </c>
      <c r="H82" s="3">
        <f t="shared" si="36"/>
        <v>732.10058615542243</v>
      </c>
      <c r="I82" s="3">
        <f t="shared" si="49"/>
        <v>546.29345738917618</v>
      </c>
      <c r="J82" s="3">
        <f t="shared" si="37"/>
        <v>546.29345738917618</v>
      </c>
      <c r="K82" s="3">
        <f t="shared" si="50"/>
        <v>1098.150879233134</v>
      </c>
      <c r="L82" s="3">
        <f t="shared" si="38"/>
        <v>27790.893842173111</v>
      </c>
      <c r="M82" s="17">
        <v>0</v>
      </c>
      <c r="N82" s="3">
        <f t="shared" si="39"/>
        <v>0</v>
      </c>
      <c r="O82" s="3">
        <f t="shared" si="51"/>
        <v>0</v>
      </c>
      <c r="P82" s="5">
        <f t="shared" si="52"/>
        <v>0</v>
      </c>
      <c r="Q82" s="3">
        <f t="shared" si="53"/>
        <v>0</v>
      </c>
      <c r="R82" s="5">
        <f t="shared" si="40"/>
        <v>0</v>
      </c>
      <c r="S82" s="3">
        <f t="shared" si="54"/>
        <v>0</v>
      </c>
      <c r="V82" s="1">
        <f t="shared" si="55"/>
        <v>15</v>
      </c>
      <c r="X82" s="3">
        <f t="shared" si="41"/>
        <v>0</v>
      </c>
      <c r="Y82" s="3">
        <f t="shared" si="57"/>
        <v>117364.60222281795</v>
      </c>
      <c r="Z82" s="3">
        <f t="shared" si="58"/>
        <v>50000</v>
      </c>
      <c r="AA82" s="3">
        <f t="shared" si="59"/>
        <v>67364.60222281795</v>
      </c>
      <c r="AB82" s="6">
        <f t="shared" si="60"/>
        <v>41.817193244398617</v>
      </c>
      <c r="AC82" s="6"/>
      <c r="AD82" s="5">
        <f t="shared" si="61"/>
        <v>2806.6111835121515</v>
      </c>
      <c r="AE82" s="3">
        <f t="shared" si="62"/>
        <v>3286.2088622389028</v>
      </c>
      <c r="AF82" s="3"/>
      <c r="AG82" s="3">
        <f t="shared" si="65"/>
        <v>3286.2088622389028</v>
      </c>
      <c r="AH82" s="3">
        <f t="shared" si="35"/>
        <v>4929.3132933583547</v>
      </c>
      <c r="AI82" s="3">
        <f t="shared" si="43"/>
        <v>125580.1243784152</v>
      </c>
    </row>
    <row r="83" spans="1:48" x14ac:dyDescent="0.25">
      <c r="B83" s="1">
        <f t="shared" si="44"/>
        <v>16</v>
      </c>
      <c r="D83" s="3">
        <f t="shared" si="45"/>
        <v>27790.893842173111</v>
      </c>
      <c r="E83" s="6">
        <f t="shared" si="46"/>
        <v>43.573515360663357</v>
      </c>
      <c r="F83" s="6">
        <f t="shared" si="63"/>
        <v>22.891271362836658</v>
      </c>
      <c r="G83" s="5">
        <f t="shared" si="64"/>
        <v>1509.7571934618816</v>
      </c>
      <c r="H83" s="3">
        <f t="shared" si="36"/>
        <v>778.14502758084711</v>
      </c>
      <c r="I83" s="3">
        <f t="shared" si="49"/>
        <v>580.65181958082815</v>
      </c>
      <c r="J83" s="3">
        <f t="shared" si="37"/>
        <v>580.65181958082815</v>
      </c>
      <c r="K83" s="3">
        <f t="shared" si="50"/>
        <v>1167.217541371271</v>
      </c>
      <c r="L83" s="3">
        <f t="shared" si="38"/>
        <v>29538.763203125211</v>
      </c>
      <c r="M83" s="17">
        <v>0</v>
      </c>
      <c r="N83" s="3">
        <f t="shared" si="39"/>
        <v>0</v>
      </c>
      <c r="O83" s="3">
        <f t="shared" si="51"/>
        <v>0</v>
      </c>
      <c r="P83" s="5">
        <f t="shared" si="52"/>
        <v>0</v>
      </c>
      <c r="Q83" s="3">
        <f t="shared" si="53"/>
        <v>0</v>
      </c>
      <c r="R83" s="5">
        <f t="shared" si="40"/>
        <v>0</v>
      </c>
      <c r="S83" s="3">
        <f t="shared" si="54"/>
        <v>0</v>
      </c>
      <c r="V83" s="1">
        <f t="shared" si="55"/>
        <v>16</v>
      </c>
      <c r="X83" s="3">
        <f t="shared" si="41"/>
        <v>0</v>
      </c>
      <c r="Y83" s="3">
        <f t="shared" si="57"/>
        <v>125580.1243784152</v>
      </c>
      <c r="Z83" s="3">
        <f t="shared" si="58"/>
        <v>50000</v>
      </c>
      <c r="AA83" s="3">
        <f t="shared" si="59"/>
        <v>75580.124378415203</v>
      </c>
      <c r="AB83" s="6">
        <f t="shared" si="60"/>
        <v>43.573515360663357</v>
      </c>
      <c r="AC83" s="6"/>
      <c r="AD83" s="5">
        <f t="shared" si="61"/>
        <v>2882.0287585009619</v>
      </c>
      <c r="AE83" s="3">
        <f t="shared" si="62"/>
        <v>3516.2434825956257</v>
      </c>
      <c r="AF83" s="3"/>
      <c r="AG83" s="3">
        <f t="shared" si="65"/>
        <v>3516.2434825956257</v>
      </c>
      <c r="AH83" s="3">
        <f t="shared" si="35"/>
        <v>5274.3652238934401</v>
      </c>
      <c r="AI83" s="3">
        <f t="shared" si="43"/>
        <v>134370.73308490426</v>
      </c>
    </row>
    <row r="84" spans="1:48" x14ac:dyDescent="0.25">
      <c r="B84" s="1">
        <f t="shared" si="44"/>
        <v>17</v>
      </c>
      <c r="D84" s="3">
        <f t="shared" si="45"/>
        <v>29538.763203125211</v>
      </c>
      <c r="E84" s="6">
        <f t="shared" si="46"/>
        <v>45.40360300581122</v>
      </c>
      <c r="F84" s="6">
        <f t="shared" si="63"/>
        <v>23.080364412939538</v>
      </c>
      <c r="G84" s="5">
        <f t="shared" si="64"/>
        <v>1522.5458661913676</v>
      </c>
      <c r="H84" s="3">
        <f t="shared" si="36"/>
        <v>827.08536968750593</v>
      </c>
      <c r="I84" s="3">
        <f t="shared" si="49"/>
        <v>617.17110286081686</v>
      </c>
      <c r="J84" s="3">
        <f t="shared" si="37"/>
        <v>0</v>
      </c>
      <c r="K84" s="3">
        <f t="shared" si="50"/>
        <v>1240.6280545312591</v>
      </c>
      <c r="L84" s="3">
        <f t="shared" si="38"/>
        <v>31396.562360517284</v>
      </c>
      <c r="M84" s="17">
        <v>0</v>
      </c>
      <c r="N84" s="3">
        <f t="shared" si="39"/>
        <v>0</v>
      </c>
      <c r="O84" s="3">
        <f t="shared" si="51"/>
        <v>0</v>
      </c>
      <c r="P84" s="5">
        <f t="shared" si="52"/>
        <v>0</v>
      </c>
      <c r="Q84" s="3">
        <f t="shared" si="53"/>
        <v>0</v>
      </c>
      <c r="R84" s="5">
        <f t="shared" si="40"/>
        <v>0</v>
      </c>
      <c r="S84" s="3">
        <f t="shared" si="54"/>
        <v>0</v>
      </c>
      <c r="V84" s="1">
        <f t="shared" si="55"/>
        <v>17</v>
      </c>
      <c r="X84" s="3">
        <f t="shared" si="41"/>
        <v>0</v>
      </c>
      <c r="Y84" s="3">
        <f t="shared" si="57"/>
        <v>134370.73308490426</v>
      </c>
      <c r="Z84" s="3">
        <f t="shared" si="58"/>
        <v>50000</v>
      </c>
      <c r="AA84" s="3">
        <f t="shared" si="59"/>
        <v>84370.733084904263</v>
      </c>
      <c r="AB84" s="6">
        <f>AB83*(1+$E$3)</f>
        <v>45.40360300581122</v>
      </c>
      <c r="AC84" s="6"/>
      <c r="AD84" s="5">
        <f t="shared" si="61"/>
        <v>2959.4729094011795</v>
      </c>
      <c r="AE84" s="3">
        <f t="shared" si="62"/>
        <v>3762.3805263773193</v>
      </c>
      <c r="AF84" s="3"/>
      <c r="AG84" s="3">
        <f>AE84-AM85</f>
        <v>0</v>
      </c>
      <c r="AH84" s="3">
        <f t="shared" si="35"/>
        <v>5643.5707895659807</v>
      </c>
      <c r="AI84" s="3">
        <f t="shared" si="43"/>
        <v>143776.68440084756</v>
      </c>
    </row>
    <row r="85" spans="1:48" x14ac:dyDescent="0.25">
      <c r="A85" s="20" t="s">
        <v>47</v>
      </c>
      <c r="B85" s="8">
        <f t="shared" si="44"/>
        <v>18</v>
      </c>
      <c r="C85" s="8"/>
      <c r="D85" s="11">
        <f t="shared" si="45"/>
        <v>22815.372967081741</v>
      </c>
      <c r="E85" s="12">
        <f t="shared" si="46"/>
        <v>47.310554332055297</v>
      </c>
      <c r="F85" s="12">
        <f t="shared" si="63"/>
        <v>23.080364412939538</v>
      </c>
      <c r="G85" s="13">
        <f t="shared" si="64"/>
        <v>1522.5458661913676</v>
      </c>
      <c r="H85" s="11">
        <f t="shared" si="36"/>
        <v>638.83044307828879</v>
      </c>
      <c r="I85" s="11">
        <f t="shared" si="49"/>
        <v>476.69527662501906</v>
      </c>
      <c r="J85" s="11">
        <f t="shared" si="37"/>
        <v>0</v>
      </c>
      <c r="K85" s="11">
        <f t="shared" si="50"/>
        <v>958.24566461743336</v>
      </c>
      <c r="L85" s="11">
        <f t="shared" si="38"/>
        <v>24250.313908324191</v>
      </c>
      <c r="M85" s="17">
        <v>8581.1893934355467</v>
      </c>
      <c r="N85" s="11">
        <f>MIN(M85,I84)</f>
        <v>617.17110286081686</v>
      </c>
      <c r="O85" s="11">
        <f>M85-N85</f>
        <v>7964.0182905747297</v>
      </c>
      <c r="P85" s="13">
        <f>O85/E85</f>
        <v>168.33491813852419</v>
      </c>
      <c r="Q85" s="11">
        <f>(E85-F85)*P85</f>
        <v>4078.7870365152453</v>
      </c>
      <c r="R85" s="11">
        <f t="shared" si="40"/>
        <v>885.09678692380817</v>
      </c>
      <c r="S85" s="11">
        <f>M85-R85</f>
        <v>7696.0926065117383</v>
      </c>
      <c r="U85" s="20" t="s">
        <v>47</v>
      </c>
      <c r="V85" s="8">
        <f t="shared" si="55"/>
        <v>18</v>
      </c>
      <c r="W85" s="8"/>
      <c r="X85" s="8"/>
      <c r="Y85" s="11">
        <f t="shared" si="57"/>
        <v>104106.66593699172</v>
      </c>
      <c r="Z85" s="11">
        <f t="shared" si="58"/>
        <v>36204.29361367927</v>
      </c>
      <c r="AA85" s="11">
        <f>Y85-Z85</f>
        <v>67902.372323312447</v>
      </c>
      <c r="AB85" s="12">
        <f>AB84*(1+$E$3)</f>
        <v>47.310554332055297</v>
      </c>
      <c r="AC85" s="12"/>
      <c r="AD85" s="13">
        <f t="shared" si="61"/>
        <v>2200.4955851141694</v>
      </c>
      <c r="AE85" s="11">
        <f t="shared" si="62"/>
        <v>2914.9866462357681</v>
      </c>
      <c r="AF85" s="11"/>
      <c r="AG85" s="11">
        <f t="shared" ref="AG85:AG88" si="66">AE85-AM86</f>
        <v>0</v>
      </c>
      <c r="AH85" s="11">
        <f t="shared" si="35"/>
        <v>4372.4799693536534</v>
      </c>
      <c r="AI85" s="11">
        <f t="shared" si="43"/>
        <v>111394.13255258114</v>
      </c>
      <c r="AJ85" s="17">
        <v>39670.018463855857</v>
      </c>
      <c r="AK85" s="11">
        <f>AJ85*(Z84/(Y84+AE84+AH84))</f>
        <v>13795.70638632073</v>
      </c>
      <c r="AL85" s="11">
        <f>AJ85*(AA84+AE84+AH84)/(Y84+AE84+AH84)</f>
        <v>25874.312077535131</v>
      </c>
      <c r="AM85" s="11">
        <f>MIN(AE84,AL85)</f>
        <v>3762.3805263773193</v>
      </c>
      <c r="AN85" s="11">
        <f>AL85-AM85</f>
        <v>22111.93155115781</v>
      </c>
      <c r="AO85" s="8"/>
      <c r="AP85" s="8"/>
      <c r="AQ85" s="13">
        <f>AN85/AB85+AK85/AB85</f>
        <v>758.97732428700999</v>
      </c>
      <c r="AR85" s="8"/>
      <c r="AS85" s="11">
        <f>IF((AL85-$AF$6)&lt;0,0,(AL85-$AF$6)*$AF$5)</f>
        <v>1855.9617308905322</v>
      </c>
      <c r="AT85" s="11">
        <f>AJ85-AS85</f>
        <v>37814.056732965328</v>
      </c>
    </row>
    <row r="86" spans="1:48" x14ac:dyDescent="0.25">
      <c r="A86" s="8" t="s">
        <v>47</v>
      </c>
      <c r="B86" s="8">
        <f t="shared" si="44"/>
        <v>19</v>
      </c>
      <c r="C86" s="8"/>
      <c r="D86" s="11">
        <f t="shared" si="45"/>
        <v>15669.124514888645</v>
      </c>
      <c r="E86" s="12">
        <f t="shared" si="46"/>
        <v>49.297597614001624</v>
      </c>
      <c r="F86" s="12">
        <f t="shared" si="63"/>
        <v>23.080364412939538</v>
      </c>
      <c r="G86" s="13">
        <f t="shared" si="64"/>
        <v>1522.5458661913676</v>
      </c>
      <c r="H86" s="11">
        <f t="shared" si="36"/>
        <v>438.73548641688205</v>
      </c>
      <c r="I86" s="11">
        <f t="shared" si="49"/>
        <v>327.38441996427736</v>
      </c>
      <c r="J86" s="11">
        <f t="shared" si="37"/>
        <v>0</v>
      </c>
      <c r="K86" s="11">
        <f t="shared" si="50"/>
        <v>658.10322962532325</v>
      </c>
      <c r="L86" s="11">
        <f t="shared" si="38"/>
        <v>16654.612164478243</v>
      </c>
      <c r="M86" s="11">
        <f>M85</f>
        <v>8581.1893934355467</v>
      </c>
      <c r="N86" s="11">
        <f t="shared" ref="N86:N88" si="67">MIN(M86,I85)</f>
        <v>476.69527662501906</v>
      </c>
      <c r="O86" s="11">
        <f t="shared" ref="O86:O88" si="68">M86-N86</f>
        <v>8104.4941168105279</v>
      </c>
      <c r="P86" s="13">
        <f>O86/E86</f>
        <v>164.39937256716684</v>
      </c>
      <c r="Q86" s="11">
        <f>(E86-F86)*P86</f>
        <v>4310.0966887017021</v>
      </c>
      <c r="R86" s="11">
        <f t="shared" si="40"/>
        <v>935.29098144826935</v>
      </c>
      <c r="S86" s="11">
        <f t="shared" ref="S86:S88" si="69">M86-R86</f>
        <v>7645.8984119872775</v>
      </c>
      <c r="U86" s="8" t="s">
        <v>47</v>
      </c>
      <c r="V86" s="8">
        <f>V85+1</f>
        <v>19</v>
      </c>
      <c r="W86" s="8"/>
      <c r="X86" s="8"/>
      <c r="Y86" s="11">
        <f t="shared" si="57"/>
        <v>71724.114088725313</v>
      </c>
      <c r="Z86" s="11">
        <f>W86+Z85-AK86</f>
        <v>23311.11007506177</v>
      </c>
      <c r="AA86" s="11">
        <f>Y86-Z86</f>
        <v>48413.004013663543</v>
      </c>
      <c r="AB86" s="12">
        <f>AB85*(1+$E$3)</f>
        <v>49.297597614001624</v>
      </c>
      <c r="AC86" s="12"/>
      <c r="AD86" s="13">
        <f t="shared" si="61"/>
        <v>1454.9210825712539</v>
      </c>
      <c r="AE86" s="11">
        <f t="shared" si="62"/>
        <v>2008.2751944843087</v>
      </c>
      <c r="AF86" s="11"/>
      <c r="AG86" s="11">
        <f t="shared" si="66"/>
        <v>0</v>
      </c>
      <c r="AH86" s="11">
        <f t="shared" si="35"/>
        <v>3012.4127917264636</v>
      </c>
      <c r="AI86" s="11">
        <f t="shared" si="43"/>
        <v>76744.802074936088</v>
      </c>
      <c r="AJ86" s="11">
        <f>AJ85</f>
        <v>39670.018463855857</v>
      </c>
      <c r="AK86" s="11">
        <f>AJ86*(Z85/(Y85+AE85+AH85))</f>
        <v>12893.183538617503</v>
      </c>
      <c r="AL86" s="11">
        <f>AJ86*(AA85+AE85+AH85)/(Y85+AE85+AH85)</f>
        <v>26776.834925238352</v>
      </c>
      <c r="AM86" s="11">
        <f>MIN(AE85,AL86)</f>
        <v>2914.9866462357681</v>
      </c>
      <c r="AN86" s="11">
        <f>AL86-AM86</f>
        <v>23861.848279002585</v>
      </c>
      <c r="AO86" s="8"/>
      <c r="AP86" s="8"/>
      <c r="AQ86" s="13">
        <f>AN86/AB86+AK86/AB86</f>
        <v>745.57450254291564</v>
      </c>
      <c r="AR86" s="8"/>
      <c r="AS86" s="11">
        <f t="shared" ref="AS86:AS88" si="70">IF((AL86-$AF$6)&lt;0,0,(AL86-$AF$6)*$AF$5)</f>
        <v>2036.9175618550282</v>
      </c>
      <c r="AT86" s="11">
        <f>AJ86-AS86</f>
        <v>37633.100902000828</v>
      </c>
    </row>
    <row r="87" spans="1:48" x14ac:dyDescent="0.25">
      <c r="A87" s="8" t="s">
        <v>47</v>
      </c>
      <c r="B87" s="8">
        <f t="shared" si="44"/>
        <v>20</v>
      </c>
      <c r="C87" s="8"/>
      <c r="D87" s="11">
        <f t="shared" si="45"/>
        <v>8073.4227710426967</v>
      </c>
      <c r="E87" s="12">
        <f t="shared" si="46"/>
        <v>51.368096713789697</v>
      </c>
      <c r="F87" s="12">
        <f t="shared" si="63"/>
        <v>23.080364412939538</v>
      </c>
      <c r="G87" s="13">
        <f t="shared" si="64"/>
        <v>1522.5458661913676</v>
      </c>
      <c r="H87" s="11">
        <f t="shared" si="36"/>
        <v>226.05583758919551</v>
      </c>
      <c r="I87" s="11">
        <f t="shared" si="49"/>
        <v>168.68286600905768</v>
      </c>
      <c r="J87" s="11">
        <f t="shared" si="37"/>
        <v>0</v>
      </c>
      <c r="K87" s="11">
        <f t="shared" si="50"/>
        <v>339.08375638379334</v>
      </c>
      <c r="L87" s="11">
        <f t="shared" si="38"/>
        <v>8581.1893934355485</v>
      </c>
      <c r="M87" s="11">
        <f>M86</f>
        <v>8581.1893934355467</v>
      </c>
      <c r="N87" s="11">
        <f t="shared" si="67"/>
        <v>327.38441996427736</v>
      </c>
      <c r="O87" s="11">
        <f t="shared" si="68"/>
        <v>8253.8049734712695</v>
      </c>
      <c r="P87" s="13">
        <f>O87/E87</f>
        <v>160.67959495286394</v>
      </c>
      <c r="Q87" s="11">
        <f>(E87-F87)*P87</f>
        <v>4545.2613682356496</v>
      </c>
      <c r="R87" s="11">
        <f t="shared" si="40"/>
        <v>986.32171690713596</v>
      </c>
      <c r="S87" s="11">
        <f t="shared" si="69"/>
        <v>7594.8676765284108</v>
      </c>
      <c r="U87" s="8" t="s">
        <v>47</v>
      </c>
      <c r="V87" s="8">
        <f t="shared" si="55"/>
        <v>20</v>
      </c>
      <c r="W87" s="8"/>
      <c r="X87" s="8"/>
      <c r="Y87" s="11">
        <f t="shared" si="57"/>
        <v>37074.783611080231</v>
      </c>
      <c r="Z87" s="11">
        <f t="shared" ref="Z87:Z88" si="71">W87+Z86-AK87</f>
        <v>11261.405833363173</v>
      </c>
      <c r="AA87" s="11">
        <f t="shared" ref="AA87:AA88" si="72">Y87-Z87</f>
        <v>25813.377777717058</v>
      </c>
      <c r="AB87" s="12">
        <f t="shared" ref="AB87:AB88" si="73">AB86*(1+$E$3)</f>
        <v>51.368096713789697</v>
      </c>
      <c r="AC87" s="12"/>
      <c r="AD87" s="13">
        <f t="shared" si="61"/>
        <v>721.74727083332937</v>
      </c>
      <c r="AE87" s="11">
        <f t="shared" si="62"/>
        <v>1038.0939411102465</v>
      </c>
      <c r="AF87" s="11"/>
      <c r="AG87" s="11">
        <f t="shared" si="66"/>
        <v>0</v>
      </c>
      <c r="AH87" s="11">
        <f t="shared" si="35"/>
        <v>1557.1409116653701</v>
      </c>
      <c r="AI87" s="11">
        <f t="shared" si="43"/>
        <v>39670.018463855842</v>
      </c>
      <c r="AJ87" s="11">
        <f>AJ86</f>
        <v>39670.018463855857</v>
      </c>
      <c r="AK87" s="11">
        <f>AJ87*(Z86/(Y86+AE86+AH86))</f>
        <v>12049.704241698597</v>
      </c>
      <c r="AL87" s="11">
        <f>AJ87*(AA86+AE86+AH86)/(Y86+AE86+AH86)</f>
        <v>27620.31422215726</v>
      </c>
      <c r="AM87" s="11">
        <f t="shared" ref="AM87:AM88" si="74">MIN(AE86,AL87)</f>
        <v>2008.2751944843087</v>
      </c>
      <c r="AN87" s="11">
        <f t="shared" ref="AN87:AN88" si="75">AL87-AM87</f>
        <v>25612.039027672952</v>
      </c>
      <c r="AO87" s="8"/>
      <c r="AP87" s="8"/>
      <c r="AQ87" s="13">
        <f t="shared" ref="AQ87:AQ88" si="76">AN87/AB87+AK87/AB87</f>
        <v>733.17381173792455</v>
      </c>
      <c r="AR87" s="8"/>
      <c r="AS87" s="11">
        <f t="shared" si="70"/>
        <v>2206.0351608872693</v>
      </c>
      <c r="AT87" s="11">
        <f t="shared" ref="AT87:AT88" si="77">AJ87-AS87</f>
        <v>37463.983302968591</v>
      </c>
    </row>
    <row r="88" spans="1:48" x14ac:dyDescent="0.25">
      <c r="A88" s="8" t="s">
        <v>47</v>
      </c>
      <c r="B88" s="8">
        <f t="shared" si="44"/>
        <v>21</v>
      </c>
      <c r="C88" s="8"/>
      <c r="D88" s="11">
        <f t="shared" si="45"/>
        <v>1.8189894035458565E-12</v>
      </c>
      <c r="E88" s="12">
        <f t="shared" si="46"/>
        <v>53.525556775768869</v>
      </c>
      <c r="F88" s="12">
        <f t="shared" si="63"/>
        <v>23.080364412939538</v>
      </c>
      <c r="G88" s="13">
        <f t="shared" si="64"/>
        <v>1522.5458661913676</v>
      </c>
      <c r="H88" s="11">
        <f t="shared" si="36"/>
        <v>5.0931703299283982E-14</v>
      </c>
      <c r="I88" s="11">
        <f t="shared" si="49"/>
        <v>3.8005237001925704E-14</v>
      </c>
      <c r="J88" s="11">
        <f t="shared" si="37"/>
        <v>3.8005237001925704E-14</v>
      </c>
      <c r="K88" s="11">
        <f t="shared" si="50"/>
        <v>7.6397554948925989E-14</v>
      </c>
      <c r="L88" s="11">
        <f t="shared" si="38"/>
        <v>1.9333921954967081E-12</v>
      </c>
      <c r="M88" s="11">
        <f>M87</f>
        <v>8581.1893934355467</v>
      </c>
      <c r="N88" s="11">
        <f t="shared" si="67"/>
        <v>168.68286600905768</v>
      </c>
      <c r="O88" s="11">
        <f t="shared" si="68"/>
        <v>8412.5065274264889</v>
      </c>
      <c r="P88" s="13">
        <f>O88/E88</f>
        <v>157.16803400417589</v>
      </c>
      <c r="Q88" s="11">
        <f>(E88-F88)*P88</f>
        <v>4785.0110285448363</v>
      </c>
      <c r="R88" s="11">
        <f t="shared" si="40"/>
        <v>1038.3473931942294</v>
      </c>
      <c r="S88" s="11">
        <f t="shared" si="69"/>
        <v>7542.8420002413168</v>
      </c>
      <c r="U88" s="8" t="s">
        <v>47</v>
      </c>
      <c r="V88" s="8">
        <f t="shared" si="55"/>
        <v>21</v>
      </c>
      <c r="W88" s="8"/>
      <c r="X88" s="8"/>
      <c r="Y88" s="11">
        <f t="shared" si="57"/>
        <v>0</v>
      </c>
      <c r="Z88" s="11">
        <f t="shared" si="71"/>
        <v>0</v>
      </c>
      <c r="AA88" s="11">
        <f t="shared" si="72"/>
        <v>0</v>
      </c>
      <c r="AB88" s="12">
        <f t="shared" si="73"/>
        <v>53.525556775768869</v>
      </c>
      <c r="AC88" s="12"/>
      <c r="AD88" s="13">
        <f t="shared" si="61"/>
        <v>0</v>
      </c>
      <c r="AE88" s="11">
        <f t="shared" si="62"/>
        <v>0</v>
      </c>
      <c r="AF88" s="11"/>
      <c r="AG88" s="11">
        <f t="shared" si="66"/>
        <v>0</v>
      </c>
      <c r="AH88" s="11">
        <f t="shared" si="35"/>
        <v>0</v>
      </c>
      <c r="AI88" s="11">
        <f t="shared" si="43"/>
        <v>0</v>
      </c>
      <c r="AJ88" s="11">
        <f>AJ87</f>
        <v>39670.018463855857</v>
      </c>
      <c r="AK88" s="11">
        <f>AJ88*(Z87/(Y87+AE87+AH87))</f>
        <v>11261.405833363176</v>
      </c>
      <c r="AL88" s="11">
        <f>AJ88*(AA87+AE87+AH87)/(Y87+AE87+AH87)</f>
        <v>28408.612630492687</v>
      </c>
      <c r="AM88" s="11">
        <f t="shared" si="74"/>
        <v>1038.0939411102465</v>
      </c>
      <c r="AN88" s="11">
        <f t="shared" si="75"/>
        <v>27370.518689382439</v>
      </c>
      <c r="AO88" s="8"/>
      <c r="AP88" s="8"/>
      <c r="AQ88" s="13">
        <f t="shared" si="76"/>
        <v>721.74727083332959</v>
      </c>
      <c r="AR88" s="8"/>
      <c r="AS88" s="11">
        <f t="shared" si="70"/>
        <v>2364.0889917585223</v>
      </c>
      <c r="AT88" s="11">
        <f t="shared" si="77"/>
        <v>37305.929472097334</v>
      </c>
    </row>
    <row r="89" spans="1:48" x14ac:dyDescent="0.25">
      <c r="A89" s="1" t="s">
        <v>56</v>
      </c>
      <c r="B89" s="3"/>
      <c r="C89" s="3">
        <f>SUM(C67:C88)</f>
        <v>33500</v>
      </c>
      <c r="D89" s="3"/>
      <c r="E89" s="3"/>
      <c r="F89" s="3"/>
      <c r="G89" s="3"/>
      <c r="H89" s="3">
        <f>SUM(H67:H88)</f>
        <v>15920.321788836407</v>
      </c>
      <c r="I89" s="3">
        <f>SUM(I67:I88)</f>
        <v>11879.744118829725</v>
      </c>
      <c r="J89" s="3"/>
      <c r="K89" s="3">
        <f>SUM(K67:K88)</f>
        <v>23880.48268325461</v>
      </c>
      <c r="L89" s="3"/>
      <c r="M89" s="3"/>
      <c r="N89" s="3"/>
      <c r="O89" s="3"/>
      <c r="P89" s="5"/>
      <c r="Q89" s="3"/>
      <c r="R89" s="3">
        <f>SUM(R67:R88)</f>
        <v>5280.5261068155942</v>
      </c>
      <c r="S89" s="3">
        <f>SUM(S67:S88)</f>
        <v>63979.700695268744</v>
      </c>
      <c r="U89" s="1" t="s">
        <v>56</v>
      </c>
      <c r="W89" s="3">
        <f>SUM(W67:W88)</f>
        <v>50000</v>
      </c>
      <c r="X89" s="3">
        <f>SUM(X67:X88)</f>
        <v>7200</v>
      </c>
      <c r="Y89" s="3"/>
      <c r="Z89" s="3"/>
      <c r="AA89" s="3"/>
      <c r="AB89" s="6"/>
      <c r="AC89" s="6"/>
      <c r="AD89" s="5"/>
      <c r="AE89" s="3">
        <f>SUM(AE67:AE88)</f>
        <v>40592.029542169323</v>
      </c>
      <c r="AF89" s="3"/>
      <c r="AG89" s="3"/>
      <c r="AH89" s="3">
        <f>SUM(AH67:AH88)</f>
        <v>60888.044313253995</v>
      </c>
      <c r="AI89" s="3"/>
      <c r="AJ89" s="3"/>
      <c r="AS89" s="3">
        <f>SUM(AS67:AS88)</f>
        <v>8463.0034453913522</v>
      </c>
      <c r="AT89" s="3">
        <f>SUM(AT67:AT88)</f>
        <v>150217.07041003209</v>
      </c>
    </row>
    <row r="90" spans="1:48" x14ac:dyDescent="0.25">
      <c r="A90" s="1" t="s">
        <v>62</v>
      </c>
      <c r="C90" s="3">
        <f>SUM(C67:C84)</f>
        <v>33500</v>
      </c>
      <c r="D90" s="3"/>
      <c r="G90" s="5"/>
      <c r="H90" s="3">
        <f>SUM(H67:H84)</f>
        <v>14616.70002175204</v>
      </c>
      <c r="I90" s="3">
        <f>SUM(I67:I84)</f>
        <v>10906.981556231371</v>
      </c>
      <c r="K90" s="3">
        <f>SUM(K67:K84)</f>
        <v>21925.050032628063</v>
      </c>
      <c r="R90" s="3">
        <f>SUM(R67:R84)</f>
        <v>1435.4692283421512</v>
      </c>
      <c r="S90" s="3">
        <f>SUM(S67:S84)</f>
        <v>33500</v>
      </c>
      <c r="U90" s="1" t="s">
        <v>62</v>
      </c>
      <c r="W90" s="3">
        <f>SUM(W67:W84)</f>
        <v>50000</v>
      </c>
      <c r="X90" s="3">
        <f>SUM(X67:X84)</f>
        <v>7200</v>
      </c>
      <c r="Y90" s="3"/>
      <c r="Z90" s="3"/>
      <c r="AA90" s="3"/>
      <c r="AB90" s="6"/>
      <c r="AC90" s="6"/>
      <c r="AD90" s="5"/>
      <c r="AE90" s="3">
        <f>SUM(AE67:AE84)</f>
        <v>34630.673760338999</v>
      </c>
      <c r="AF90" s="3"/>
      <c r="AG90" s="3"/>
      <c r="AH90" s="3">
        <f>SUM(AH67:AH84)</f>
        <v>51946.01064050851</v>
      </c>
      <c r="AI90" s="3"/>
      <c r="AJ90" s="3"/>
      <c r="AS90" s="3">
        <f>SUM(AS67:AS84)</f>
        <v>0</v>
      </c>
      <c r="AT90" s="3">
        <f>SUM(AT67:AT84)</f>
        <v>0</v>
      </c>
      <c r="AV90" s="3"/>
    </row>
    <row r="91" spans="1:48" x14ac:dyDescent="0.25">
      <c r="A91" s="1" t="s">
        <v>47</v>
      </c>
      <c r="C91" s="3">
        <f>SUM(C85:C88)</f>
        <v>0</v>
      </c>
      <c r="D91" s="3"/>
      <c r="G91" s="5"/>
      <c r="H91" s="3">
        <f>SUM(H85:H88)</f>
        <v>1303.6217670843664</v>
      </c>
      <c r="I91" s="3">
        <f>SUM(I85:I88)</f>
        <v>972.76256259835407</v>
      </c>
      <c r="K91" s="3">
        <f>SUM(K85:K88)</f>
        <v>1955.43265062655</v>
      </c>
      <c r="R91" s="3">
        <f>SUM(R85:R88)</f>
        <v>3845.0568784734428</v>
      </c>
      <c r="S91" s="3">
        <f>SUM(S85:S88)</f>
        <v>30479.700695268744</v>
      </c>
      <c r="U91" s="1" t="s">
        <v>47</v>
      </c>
      <c r="W91" s="3">
        <f>SUM(W85:W88)</f>
        <v>0</v>
      </c>
      <c r="X91" s="3">
        <f>SUM(X85:X88)</f>
        <v>0</v>
      </c>
      <c r="AD91" s="5"/>
      <c r="AE91" s="3">
        <f>SUM(AE85:AE88)</f>
        <v>5961.3557818303234</v>
      </c>
      <c r="AH91" s="3">
        <f>SUM(AH85:AH88)</f>
        <v>8942.0336727454869</v>
      </c>
      <c r="AS91" s="3">
        <f>SUM(AS85:AS88)</f>
        <v>8463.0034453913522</v>
      </c>
      <c r="AT91" s="3">
        <f>SUM(AT85:AT88)</f>
        <v>150217.07041003209</v>
      </c>
      <c r="AV91" s="3">
        <f>AT91+S91</f>
        <v>180696.77110530084</v>
      </c>
    </row>
    <row r="92" spans="1:48" x14ac:dyDescent="0.25">
      <c r="D92" s="3"/>
      <c r="S92" s="3">
        <f>SUM(S85:S88)</f>
        <v>30479.700695268744</v>
      </c>
      <c r="Y92" s="3"/>
      <c r="Z92" s="3"/>
      <c r="AA92" s="3"/>
      <c r="AB92" s="6"/>
      <c r="AC92" s="6"/>
      <c r="AD92" s="5"/>
      <c r="AE92" s="3"/>
      <c r="AF92" s="3"/>
      <c r="AG92" s="3"/>
      <c r="AH92" s="3"/>
      <c r="AI92" s="3"/>
      <c r="AJ92" s="3"/>
      <c r="AT92" s="3"/>
      <c r="AV92" s="3"/>
    </row>
    <row r="93" spans="1:48" x14ac:dyDescent="0.25">
      <c r="Y93" s="3"/>
      <c r="Z93" s="3"/>
      <c r="AA93" s="3"/>
      <c r="AB93" s="6"/>
      <c r="AC93" s="6"/>
      <c r="AD93" s="5"/>
      <c r="AE93" s="3"/>
      <c r="AF93" s="3"/>
      <c r="AG93" s="3"/>
      <c r="AH93" s="3"/>
      <c r="AI93" s="3"/>
      <c r="AT93" s="3"/>
    </row>
    <row r="94" spans="1:48" s="7" customFormat="1" ht="83.25" customHeight="1" x14ac:dyDescent="0.25">
      <c r="A94" s="19" t="s">
        <v>35</v>
      </c>
      <c r="B94" s="10"/>
      <c r="C94" s="10" t="s">
        <v>23</v>
      </c>
      <c r="D94" s="10" t="s">
        <v>22</v>
      </c>
      <c r="E94" s="10" t="s">
        <v>29</v>
      </c>
      <c r="F94" s="10" t="s">
        <v>9</v>
      </c>
      <c r="G94" s="10" t="s">
        <v>11</v>
      </c>
      <c r="H94" s="10" t="s">
        <v>4</v>
      </c>
      <c r="I94" s="10" t="s">
        <v>6</v>
      </c>
      <c r="J94" s="10" t="s">
        <v>32</v>
      </c>
      <c r="K94" s="10" t="s">
        <v>5</v>
      </c>
      <c r="L94" s="10" t="s">
        <v>46</v>
      </c>
      <c r="M94" s="10" t="s">
        <v>19</v>
      </c>
      <c r="N94" s="10" t="s">
        <v>30</v>
      </c>
      <c r="O94" s="10" t="s">
        <v>18</v>
      </c>
      <c r="P94" s="10" t="s">
        <v>17</v>
      </c>
      <c r="Q94" s="10" t="s">
        <v>14</v>
      </c>
      <c r="R94" s="10" t="s">
        <v>54</v>
      </c>
      <c r="S94" s="10" t="s">
        <v>20</v>
      </c>
      <c r="V94" s="10"/>
      <c r="W94" s="10" t="s">
        <v>23</v>
      </c>
      <c r="X94" s="10" t="s">
        <v>24</v>
      </c>
      <c r="Y94" s="10" t="s">
        <v>22</v>
      </c>
      <c r="Z94" s="10" t="s">
        <v>25</v>
      </c>
      <c r="AA94" s="10" t="s">
        <v>26</v>
      </c>
      <c r="AB94" s="10" t="s">
        <v>29</v>
      </c>
      <c r="AC94" s="10" t="s">
        <v>9</v>
      </c>
      <c r="AD94" s="10" t="s">
        <v>11</v>
      </c>
      <c r="AE94" s="10" t="s">
        <v>4</v>
      </c>
      <c r="AF94" s="10" t="s">
        <v>6</v>
      </c>
      <c r="AG94" s="10" t="s">
        <v>32</v>
      </c>
      <c r="AH94" s="10" t="s">
        <v>5</v>
      </c>
      <c r="AI94" s="10" t="s">
        <v>46</v>
      </c>
      <c r="AJ94" s="10" t="s">
        <v>19</v>
      </c>
      <c r="AK94" s="10" t="s">
        <v>27</v>
      </c>
      <c r="AL94" s="10" t="s">
        <v>28</v>
      </c>
      <c r="AM94" s="10" t="s">
        <v>30</v>
      </c>
      <c r="AN94" s="10" t="s">
        <v>31</v>
      </c>
      <c r="AO94" s="10" t="s">
        <v>21</v>
      </c>
      <c r="AP94" s="10" t="s">
        <v>18</v>
      </c>
      <c r="AQ94" s="10" t="s">
        <v>17</v>
      </c>
      <c r="AR94" s="10" t="s">
        <v>14</v>
      </c>
      <c r="AS94" s="10" t="s">
        <v>54</v>
      </c>
      <c r="AT94" s="10" t="s">
        <v>20</v>
      </c>
    </row>
    <row r="95" spans="1:48" x14ac:dyDescent="0.25">
      <c r="B95" s="1">
        <v>0</v>
      </c>
      <c r="C95" s="3">
        <f>50000-W95</f>
        <v>2500</v>
      </c>
      <c r="D95" s="3">
        <f>C95</f>
        <v>2500</v>
      </c>
      <c r="E95" s="6">
        <v>22.56</v>
      </c>
      <c r="F95" s="6">
        <v>22.56</v>
      </c>
      <c r="G95" s="5">
        <f>D95/E95</f>
        <v>110.81560283687944</v>
      </c>
      <c r="H95" s="3">
        <f>D95*$E$2</f>
        <v>70</v>
      </c>
      <c r="I95" s="3">
        <f>H95*(1-$J$3)</f>
        <v>52.233999999999995</v>
      </c>
      <c r="J95" s="3">
        <f>I95-N96</f>
        <v>0</v>
      </c>
      <c r="K95" s="3">
        <f>D95*$E$3</f>
        <v>105.00000000000003</v>
      </c>
      <c r="L95" s="3">
        <f>D95+I95+K95</f>
        <v>2657.2339999999999</v>
      </c>
      <c r="M95" s="3"/>
      <c r="V95" s="1">
        <v>0</v>
      </c>
      <c r="W95" s="3">
        <v>47500</v>
      </c>
      <c r="X95" s="3">
        <f>MIN(W95*20%,500)</f>
        <v>500</v>
      </c>
      <c r="Y95" s="3">
        <f>W95+X95</f>
        <v>48000</v>
      </c>
      <c r="Z95" s="3">
        <f>W95</f>
        <v>47500</v>
      </c>
      <c r="AA95" s="3">
        <f>Y95-Z95</f>
        <v>500</v>
      </c>
      <c r="AB95" s="6">
        <v>22.56</v>
      </c>
      <c r="AC95" s="6"/>
      <c r="AD95" s="5">
        <f>Y95/AB95</f>
        <v>2127.6595744680853</v>
      </c>
      <c r="AE95" s="3">
        <f>Y95*$E$2</f>
        <v>1344</v>
      </c>
      <c r="AF95" s="3"/>
      <c r="AG95" s="3">
        <f>AE95-AM96</f>
        <v>1344</v>
      </c>
      <c r="AH95" s="3">
        <f t="shared" ref="AH95:AH116" si="78">Y95*$E$3</f>
        <v>2016.0000000000005</v>
      </c>
      <c r="AI95" s="3">
        <f>Y95+AE95+AH95</f>
        <v>51360</v>
      </c>
    </row>
    <row r="96" spans="1:48" x14ac:dyDescent="0.25">
      <c r="B96" s="1">
        <f>B95+1</f>
        <v>1</v>
      </c>
      <c r="D96" s="3">
        <f>D95+I95+K95-N96-O96+C96</f>
        <v>135.6353537563682</v>
      </c>
      <c r="E96" s="6">
        <f>E95*(1+$E$3)</f>
        <v>23.50752</v>
      </c>
      <c r="F96" s="6">
        <f>(F95*G95+J95+C96)/G96</f>
        <v>22.56</v>
      </c>
      <c r="G96" s="5">
        <f>G95+(J95+C96)/E96</f>
        <v>110.81560283687944</v>
      </c>
      <c r="H96" s="3">
        <f t="shared" ref="H96:H116" si="79">D96*$E$2</f>
        <v>3.7977899051783099</v>
      </c>
      <c r="I96" s="3">
        <f>H96*(1-$J$3)</f>
        <v>2.833910827244055</v>
      </c>
      <c r="J96" s="3">
        <f t="shared" ref="J96:J116" si="80">I96-N97</f>
        <v>2.833910827244055</v>
      </c>
      <c r="K96" s="3">
        <f>D96*$E$3</f>
        <v>5.6966848577674662</v>
      </c>
      <c r="L96" s="3">
        <f t="shared" ref="L96:L116" si="81">D96+I96+K96</f>
        <v>144.16594944137975</v>
      </c>
      <c r="M96" s="17">
        <v>2521.5986462436317</v>
      </c>
      <c r="N96" s="3">
        <f t="shared" ref="N96:N112" si="82">MIN(M96,I95)</f>
        <v>52.233999999999995</v>
      </c>
      <c r="O96" s="3">
        <f t="shared" ref="O96:O112" si="83">M96-N96</f>
        <v>2469.3646462436318</v>
      </c>
      <c r="P96" s="5">
        <f t="shared" ref="P96:P112" si="84">O96/E96</f>
        <v>105.04573201442057</v>
      </c>
      <c r="Q96" s="3">
        <f t="shared" ref="Q96:Q112" si="85">(E96-F96)*P96</f>
        <v>99.532931998303852</v>
      </c>
      <c r="R96" s="5">
        <f t="shared" ref="R96:R112" si="86">Q96*$J$4</f>
        <v>21.598646243631936</v>
      </c>
      <c r="S96" s="3">
        <f t="shared" ref="S96:S112" si="87">M96-R96</f>
        <v>2500</v>
      </c>
      <c r="V96" s="1">
        <f>V95+1</f>
        <v>1</v>
      </c>
      <c r="W96" s="3">
        <f>S96</f>
        <v>2500</v>
      </c>
      <c r="X96" s="3">
        <f t="shared" ref="X96" si="88">MIN(W96*20%,500)</f>
        <v>500</v>
      </c>
      <c r="Y96" s="3">
        <f>AB96*AD96</f>
        <v>54360</v>
      </c>
      <c r="Z96" s="3">
        <f>W96+Z95-AK96</f>
        <v>50000</v>
      </c>
      <c r="AA96" s="3">
        <f>Y96-Z96</f>
        <v>4360</v>
      </c>
      <c r="AB96" s="6">
        <f>AB95*(1+$E$3)</f>
        <v>23.50752</v>
      </c>
      <c r="AC96" s="6"/>
      <c r="AD96" s="5">
        <f>AD95+AG95/AB96+W96/AB96+X96/AB96-AK96/AB96-AN96/AB96</f>
        <v>2312.4515048801404</v>
      </c>
      <c r="AE96" s="3">
        <f>Y96*$E$2</f>
        <v>1522.08</v>
      </c>
      <c r="AF96" s="3"/>
      <c r="AG96" s="3">
        <f t="shared" ref="AG96:AG103" si="89">AE96-AM97</f>
        <v>1522.08</v>
      </c>
      <c r="AH96" s="3">
        <f t="shared" si="78"/>
        <v>2283.1200000000003</v>
      </c>
      <c r="AI96" s="3">
        <f t="shared" ref="AI96:AI116" si="90">Y96+AE96+AH96</f>
        <v>58165.200000000004</v>
      </c>
    </row>
    <row r="97" spans="2:35" x14ac:dyDescent="0.25">
      <c r="B97" s="1">
        <f t="shared" ref="B97:B116" si="91">B96+1</f>
        <v>2</v>
      </c>
      <c r="D97" s="3">
        <f t="shared" ref="D97:D116" si="92">D96+I96+K96-N97-O97+C97</f>
        <v>144.16594944137975</v>
      </c>
      <c r="E97" s="6">
        <f t="shared" ref="E97:E116" si="93">E96*(1+$E$3)</f>
        <v>24.49483584</v>
      </c>
      <c r="F97" s="6">
        <f t="shared" ref="F97:F98" si="94">(F96*G96+J96+C97)/G97</f>
        <v>22.56201790947587</v>
      </c>
      <c r="G97" s="5">
        <f t="shared" ref="G97:G116" si="95">G96+(J96+C97)/E97</f>
        <v>110.93129705282581</v>
      </c>
      <c r="H97" s="3">
        <f t="shared" si="79"/>
        <v>4.0366465843586328</v>
      </c>
      <c r="I97" s="3">
        <f t="shared" ref="I97:I116" si="96">H97*(1-$J$3)</f>
        <v>3.0121456812484118</v>
      </c>
      <c r="J97" s="3">
        <f t="shared" si="80"/>
        <v>3.0121456812484118</v>
      </c>
      <c r="K97" s="3">
        <f t="shared" ref="K97:K116" si="97">D97*$E$3</f>
        <v>6.0549698765379514</v>
      </c>
      <c r="L97" s="3">
        <f t="shared" si="81"/>
        <v>153.23306499916609</v>
      </c>
      <c r="M97" s="17">
        <v>0</v>
      </c>
      <c r="N97" s="3">
        <f t="shared" si="82"/>
        <v>0</v>
      </c>
      <c r="O97" s="3">
        <f t="shared" si="83"/>
        <v>0</v>
      </c>
      <c r="P97" s="5">
        <f t="shared" si="84"/>
        <v>0</v>
      </c>
      <c r="Q97" s="3">
        <f t="shared" si="85"/>
        <v>0</v>
      </c>
      <c r="R97" s="5">
        <f t="shared" si="86"/>
        <v>0</v>
      </c>
      <c r="S97" s="3">
        <f t="shared" si="87"/>
        <v>0</v>
      </c>
      <c r="V97" s="1">
        <f t="shared" ref="V97:V116" si="98">V96+1</f>
        <v>2</v>
      </c>
      <c r="W97" s="3">
        <f t="shared" ref="W97:W109" si="99">S97</f>
        <v>0</v>
      </c>
      <c r="X97" s="3"/>
      <c r="Y97" s="3">
        <f t="shared" ref="Y97:Y116" si="100">AB97*AD97</f>
        <v>58165.2</v>
      </c>
      <c r="Z97" s="3">
        <f t="shared" ref="Z97:Z113" si="101">W97+Z96-AK97</f>
        <v>50000</v>
      </c>
      <c r="AA97" s="3">
        <f t="shared" ref="AA97:AA112" si="102">Y97-Z97</f>
        <v>8165.1999999999971</v>
      </c>
      <c r="AB97" s="6">
        <f t="shared" ref="AB97:AB111" si="103">AB96*(1+$E$3)</f>
        <v>24.49483584</v>
      </c>
      <c r="AC97" s="6"/>
      <c r="AD97" s="5">
        <f t="shared" ref="AD97:AD116" si="104">AD96+AG96/AB97+W97/AB97+X97/AB97-AK97/AB97-AN97/AB97</f>
        <v>2374.5903169114686</v>
      </c>
      <c r="AE97" s="3">
        <f t="shared" ref="AE97:AE116" si="105">Y97*$E$2</f>
        <v>1628.6255999999998</v>
      </c>
      <c r="AF97" s="3"/>
      <c r="AG97" s="3">
        <f t="shared" si="89"/>
        <v>1628.6255999999998</v>
      </c>
      <c r="AH97" s="3">
        <f t="shared" si="78"/>
        <v>2442.9384000000005</v>
      </c>
      <c r="AI97" s="3">
        <f t="shared" si="90"/>
        <v>62236.763999999996</v>
      </c>
    </row>
    <row r="98" spans="2:35" x14ac:dyDescent="0.25">
      <c r="B98" s="1">
        <f t="shared" si="91"/>
        <v>3</v>
      </c>
      <c r="D98" s="3">
        <f t="shared" si="92"/>
        <v>153.23306499916609</v>
      </c>
      <c r="E98" s="6">
        <f t="shared" si="93"/>
        <v>25.523618945280003</v>
      </c>
      <c r="F98" s="6">
        <f t="shared" si="94"/>
        <v>22.565165254864624</v>
      </c>
      <c r="G98" s="5">
        <f t="shared" si="95"/>
        <v>111.04931110434829</v>
      </c>
      <c r="H98" s="3">
        <f t="shared" si="79"/>
        <v>4.2905258199766507</v>
      </c>
      <c r="I98" s="3">
        <f t="shared" si="96"/>
        <v>3.2015903668665766</v>
      </c>
      <c r="J98" s="3">
        <f t="shared" si="80"/>
        <v>3.2015903668665766</v>
      </c>
      <c r="K98" s="3">
        <f t="shared" si="97"/>
        <v>6.435788729964977</v>
      </c>
      <c r="L98" s="3">
        <f t="shared" si="81"/>
        <v>162.87044409599764</v>
      </c>
      <c r="M98" s="17">
        <v>0</v>
      </c>
      <c r="N98" s="3">
        <f t="shared" si="82"/>
        <v>0</v>
      </c>
      <c r="O98" s="3">
        <f t="shared" si="83"/>
        <v>0</v>
      </c>
      <c r="P98" s="5">
        <f t="shared" si="84"/>
        <v>0</v>
      </c>
      <c r="Q98" s="3">
        <f t="shared" si="85"/>
        <v>0</v>
      </c>
      <c r="R98" s="5">
        <f t="shared" si="86"/>
        <v>0</v>
      </c>
      <c r="S98" s="3">
        <f t="shared" si="87"/>
        <v>0</v>
      </c>
      <c r="V98" s="1">
        <f t="shared" si="98"/>
        <v>3</v>
      </c>
      <c r="W98" s="3">
        <f t="shared" si="99"/>
        <v>0</v>
      </c>
      <c r="X98" s="3"/>
      <c r="Y98" s="3">
        <f t="shared" si="100"/>
        <v>62236.763999999996</v>
      </c>
      <c r="Z98" s="3">
        <f t="shared" si="101"/>
        <v>50000</v>
      </c>
      <c r="AA98" s="3">
        <f t="shared" si="102"/>
        <v>12236.763999999996</v>
      </c>
      <c r="AB98" s="6">
        <f t="shared" si="103"/>
        <v>25.523618945280003</v>
      </c>
      <c r="AC98" s="6"/>
      <c r="AD98" s="5">
        <f t="shared" si="104"/>
        <v>2438.3988858879761</v>
      </c>
      <c r="AE98" s="3">
        <f t="shared" si="105"/>
        <v>1742.6293919999998</v>
      </c>
      <c r="AF98" s="3"/>
      <c r="AG98" s="3">
        <f t="shared" si="89"/>
        <v>1742.6293919999998</v>
      </c>
      <c r="AH98" s="3">
        <f t="shared" si="78"/>
        <v>2613.9440880000002</v>
      </c>
      <c r="AI98" s="3">
        <f t="shared" si="90"/>
        <v>66593.337480000002</v>
      </c>
    </row>
    <row r="99" spans="2:35" x14ac:dyDescent="0.25">
      <c r="B99" s="1">
        <f t="shared" si="91"/>
        <v>4</v>
      </c>
      <c r="D99" s="3">
        <f t="shared" si="92"/>
        <v>162.87044409599764</v>
      </c>
      <c r="E99" s="6">
        <f t="shared" si="93"/>
        <v>26.595610940981764</v>
      </c>
      <c r="F99" s="6">
        <f>(F98*G98+J98+C99)/G99</f>
        <v>22.569529633949923</v>
      </c>
      <c r="G99" s="5">
        <f>G98+(J98+C99)/E99</f>
        <v>111.16969150748967</v>
      </c>
      <c r="H99" s="3">
        <f t="shared" si="79"/>
        <v>4.5603724346879337</v>
      </c>
      <c r="I99" s="3">
        <f t="shared" si="96"/>
        <v>3.4029499107641361</v>
      </c>
      <c r="J99" s="3">
        <f t="shared" si="80"/>
        <v>3.4029499107641361</v>
      </c>
      <c r="K99" s="3">
        <f t="shared" si="97"/>
        <v>6.8405586520319028</v>
      </c>
      <c r="L99" s="3">
        <f t="shared" si="81"/>
        <v>173.11395265879369</v>
      </c>
      <c r="M99" s="17">
        <v>0</v>
      </c>
      <c r="N99" s="3">
        <f t="shared" si="82"/>
        <v>0</v>
      </c>
      <c r="O99" s="3">
        <f t="shared" si="83"/>
        <v>0</v>
      </c>
      <c r="P99" s="5">
        <f t="shared" si="84"/>
        <v>0</v>
      </c>
      <c r="Q99" s="3">
        <f t="shared" si="85"/>
        <v>0</v>
      </c>
      <c r="R99" s="5">
        <f t="shared" si="86"/>
        <v>0</v>
      </c>
      <c r="S99" s="3">
        <f t="shared" si="87"/>
        <v>0</v>
      </c>
      <c r="V99" s="1">
        <f t="shared" si="98"/>
        <v>4</v>
      </c>
      <c r="W99" s="3">
        <f t="shared" si="99"/>
        <v>0</v>
      </c>
      <c r="X99" s="3"/>
      <c r="Y99" s="3">
        <f t="shared" si="100"/>
        <v>66593.337480000002</v>
      </c>
      <c r="Z99" s="3">
        <f t="shared" si="101"/>
        <v>50000</v>
      </c>
      <c r="AA99" s="3">
        <f t="shared" si="102"/>
        <v>16593.337480000002</v>
      </c>
      <c r="AB99" s="6">
        <f t="shared" si="103"/>
        <v>26.595610940981764</v>
      </c>
      <c r="AC99" s="6"/>
      <c r="AD99" s="5">
        <f t="shared" si="104"/>
        <v>2503.9220805183631</v>
      </c>
      <c r="AE99" s="3">
        <f t="shared" si="105"/>
        <v>1864.6134494400001</v>
      </c>
      <c r="AF99" s="3"/>
      <c r="AG99" s="3">
        <f t="shared" si="89"/>
        <v>1864.6134494400001</v>
      </c>
      <c r="AH99" s="3">
        <f t="shared" si="78"/>
        <v>2796.9201741600009</v>
      </c>
      <c r="AI99" s="3">
        <f t="shared" si="90"/>
        <v>71254.871103600002</v>
      </c>
    </row>
    <row r="100" spans="2:35" x14ac:dyDescent="0.25">
      <c r="B100" s="1">
        <f t="shared" si="91"/>
        <v>5</v>
      </c>
      <c r="D100" s="3">
        <f t="shared" si="92"/>
        <v>173.11395265879369</v>
      </c>
      <c r="E100" s="6">
        <f t="shared" si="93"/>
        <v>27.712626600503</v>
      </c>
      <c r="F100" s="6">
        <f t="shared" ref="F100:F116" si="106">(F99*G99+J99+C100)/G100</f>
        <v>22.575204253324106</v>
      </c>
      <c r="G100" s="5">
        <f t="shared" ref="G100:G116" si="107">G99+(J99+C100)/E100</f>
        <v>111.29248571100636</v>
      </c>
      <c r="H100" s="3">
        <f t="shared" si="79"/>
        <v>4.8471906744462236</v>
      </c>
      <c r="I100" s="3">
        <f t="shared" si="96"/>
        <v>3.6169736812717721</v>
      </c>
      <c r="J100" s="3">
        <f t="shared" si="80"/>
        <v>3.6169736812717721</v>
      </c>
      <c r="K100" s="3">
        <f t="shared" si="97"/>
        <v>7.2707860116693368</v>
      </c>
      <c r="L100" s="3">
        <f t="shared" si="81"/>
        <v>184.0017123517348</v>
      </c>
      <c r="M100" s="17">
        <v>0</v>
      </c>
      <c r="N100" s="3">
        <f t="shared" si="82"/>
        <v>0</v>
      </c>
      <c r="O100" s="3">
        <f t="shared" si="83"/>
        <v>0</v>
      </c>
      <c r="P100" s="5">
        <f t="shared" si="84"/>
        <v>0</v>
      </c>
      <c r="Q100" s="3">
        <f t="shared" si="85"/>
        <v>0</v>
      </c>
      <c r="R100" s="5">
        <f t="shared" si="86"/>
        <v>0</v>
      </c>
      <c r="S100" s="3">
        <f t="shared" si="87"/>
        <v>0</v>
      </c>
      <c r="V100" s="1">
        <f t="shared" si="98"/>
        <v>5</v>
      </c>
      <c r="W100" s="3">
        <f t="shared" si="99"/>
        <v>0</v>
      </c>
      <c r="X100" s="3"/>
      <c r="Y100" s="3">
        <f t="shared" si="100"/>
        <v>71254.871103600002</v>
      </c>
      <c r="Z100" s="3">
        <f t="shared" si="101"/>
        <v>50000</v>
      </c>
      <c r="AA100" s="3">
        <f t="shared" si="102"/>
        <v>21254.871103600002</v>
      </c>
      <c r="AB100" s="6">
        <f t="shared" si="103"/>
        <v>27.712626600503</v>
      </c>
      <c r="AC100" s="6"/>
      <c r="AD100" s="5">
        <f t="shared" si="104"/>
        <v>2571.2059751963998</v>
      </c>
      <c r="AE100" s="3">
        <f t="shared" si="105"/>
        <v>1995.1363909008001</v>
      </c>
      <c r="AF100" s="3"/>
      <c r="AG100" s="3">
        <f t="shared" si="89"/>
        <v>1995.1363909008001</v>
      </c>
      <c r="AH100" s="3">
        <f t="shared" si="78"/>
        <v>2992.7045863512008</v>
      </c>
      <c r="AI100" s="3">
        <f t="shared" si="90"/>
        <v>76242.712080852012</v>
      </c>
    </row>
    <row r="101" spans="2:35" x14ac:dyDescent="0.25">
      <c r="B101" s="1">
        <f t="shared" si="91"/>
        <v>6</v>
      </c>
      <c r="D101" s="3">
        <f t="shared" si="92"/>
        <v>184.0017123517348</v>
      </c>
      <c r="E101" s="6">
        <f t="shared" si="93"/>
        <v>28.876556917724127</v>
      </c>
      <c r="F101" s="6">
        <f t="shared" si="106"/>
        <v>22.582288266700257</v>
      </c>
      <c r="G101" s="5">
        <f t="shared" si="107"/>
        <v>111.41774211507065</v>
      </c>
      <c r="H101" s="3">
        <f t="shared" si="79"/>
        <v>5.1520479458485742</v>
      </c>
      <c r="I101" s="3">
        <f t="shared" si="96"/>
        <v>3.8444581771922057</v>
      </c>
      <c r="J101" s="3">
        <f t="shared" si="80"/>
        <v>3.8444581771922057</v>
      </c>
      <c r="K101" s="3">
        <f t="shared" si="97"/>
        <v>7.728071918772863</v>
      </c>
      <c r="L101" s="3">
        <f t="shared" si="81"/>
        <v>195.57424244769985</v>
      </c>
      <c r="M101" s="17">
        <v>0</v>
      </c>
      <c r="N101" s="3">
        <f t="shared" si="82"/>
        <v>0</v>
      </c>
      <c r="O101" s="3">
        <f t="shared" si="83"/>
        <v>0</v>
      </c>
      <c r="P101" s="5">
        <f t="shared" si="84"/>
        <v>0</v>
      </c>
      <c r="Q101" s="3">
        <f t="shared" si="85"/>
        <v>0</v>
      </c>
      <c r="R101" s="5">
        <f t="shared" si="86"/>
        <v>0</v>
      </c>
      <c r="S101" s="3">
        <f t="shared" si="87"/>
        <v>0</v>
      </c>
      <c r="V101" s="1">
        <f t="shared" si="98"/>
        <v>6</v>
      </c>
      <c r="W101" s="3">
        <f t="shared" si="99"/>
        <v>0</v>
      </c>
      <c r="X101" s="3"/>
      <c r="Y101" s="3">
        <f t="shared" si="100"/>
        <v>76242.712080852012</v>
      </c>
      <c r="Z101" s="3">
        <f t="shared" si="101"/>
        <v>50000</v>
      </c>
      <c r="AA101" s="3">
        <f t="shared" si="102"/>
        <v>26242.712080852012</v>
      </c>
      <c r="AB101" s="6">
        <f t="shared" si="103"/>
        <v>28.876556917724127</v>
      </c>
      <c r="AC101" s="6"/>
      <c r="AD101" s="5">
        <f t="shared" si="104"/>
        <v>2640.297882399374</v>
      </c>
      <c r="AE101" s="3">
        <f t="shared" si="105"/>
        <v>2134.7959382638564</v>
      </c>
      <c r="AF101" s="3"/>
      <c r="AG101" s="3">
        <f t="shared" si="89"/>
        <v>2134.7959382638564</v>
      </c>
      <c r="AH101" s="3">
        <f t="shared" si="78"/>
        <v>3202.1939073957851</v>
      </c>
      <c r="AI101" s="3">
        <f t="shared" si="90"/>
        <v>81579.701926511654</v>
      </c>
    </row>
    <row r="102" spans="2:35" x14ac:dyDescent="0.25">
      <c r="B102" s="1">
        <f t="shared" si="91"/>
        <v>7</v>
      </c>
      <c r="D102" s="3">
        <f t="shared" si="92"/>
        <v>195.57424244769985</v>
      </c>
      <c r="E102" s="6">
        <f t="shared" si="93"/>
        <v>30.08937230826854</v>
      </c>
      <c r="F102" s="6">
        <f t="shared" si="106"/>
        <v>22.590887133005594</v>
      </c>
      <c r="G102" s="5">
        <f t="shared" si="107"/>
        <v>111.54551009034795</v>
      </c>
      <c r="H102" s="3">
        <f t="shared" si="79"/>
        <v>5.4760787885355962</v>
      </c>
      <c r="I102" s="3">
        <f t="shared" si="96"/>
        <v>4.0862499920052615</v>
      </c>
      <c r="J102" s="3">
        <f t="shared" si="80"/>
        <v>4.0862499920052615</v>
      </c>
      <c r="K102" s="3">
        <f t="shared" si="97"/>
        <v>8.2141181828033947</v>
      </c>
      <c r="L102" s="3">
        <f t="shared" si="81"/>
        <v>207.8746106225085</v>
      </c>
      <c r="M102" s="17">
        <v>0</v>
      </c>
      <c r="N102" s="3">
        <f t="shared" si="82"/>
        <v>0</v>
      </c>
      <c r="O102" s="3">
        <f t="shared" si="83"/>
        <v>0</v>
      </c>
      <c r="P102" s="5">
        <f t="shared" si="84"/>
        <v>0</v>
      </c>
      <c r="Q102" s="3">
        <f t="shared" si="85"/>
        <v>0</v>
      </c>
      <c r="R102" s="5">
        <f t="shared" si="86"/>
        <v>0</v>
      </c>
      <c r="S102" s="3">
        <f t="shared" si="87"/>
        <v>0</v>
      </c>
      <c r="V102" s="1">
        <f t="shared" si="98"/>
        <v>7</v>
      </c>
      <c r="W102" s="3">
        <f t="shared" si="99"/>
        <v>0</v>
      </c>
      <c r="X102" s="3"/>
      <c r="Y102" s="3">
        <f t="shared" si="100"/>
        <v>81579.701926511654</v>
      </c>
      <c r="Z102" s="3">
        <f t="shared" si="101"/>
        <v>50000</v>
      </c>
      <c r="AA102" s="3">
        <f t="shared" si="102"/>
        <v>31579.701926511654</v>
      </c>
      <c r="AB102" s="6">
        <f t="shared" si="103"/>
        <v>30.08937230826854</v>
      </c>
      <c r="AC102" s="6"/>
      <c r="AD102" s="5">
        <f t="shared" si="104"/>
        <v>2711.2463859571308</v>
      </c>
      <c r="AE102" s="3">
        <f t="shared" si="105"/>
        <v>2284.2316539423264</v>
      </c>
      <c r="AF102" s="3"/>
      <c r="AG102" s="3">
        <f t="shared" si="89"/>
        <v>2284.2316539423264</v>
      </c>
      <c r="AH102" s="3">
        <f t="shared" si="78"/>
        <v>3426.3474809134905</v>
      </c>
      <c r="AI102" s="3">
        <f t="shared" si="90"/>
        <v>87290.281061367466</v>
      </c>
    </row>
    <row r="103" spans="2:35" x14ac:dyDescent="0.25">
      <c r="B103" s="1">
        <f t="shared" si="91"/>
        <v>8</v>
      </c>
      <c r="D103" s="3">
        <f t="shared" si="92"/>
        <v>207.8746106225085</v>
      </c>
      <c r="E103" s="6">
        <f t="shared" si="93"/>
        <v>31.353125945215819</v>
      </c>
      <c r="F103" s="6">
        <f t="shared" si="106"/>
        <v>22.601112995380888</v>
      </c>
      <c r="G103" s="5">
        <f t="shared" si="107"/>
        <v>111.67583999745658</v>
      </c>
      <c r="H103" s="3">
        <f t="shared" si="79"/>
        <v>5.8204890974302383</v>
      </c>
      <c r="I103" s="3">
        <f t="shared" si="96"/>
        <v>4.3432489645024441</v>
      </c>
      <c r="J103" s="3">
        <f t="shared" si="80"/>
        <v>4.3432489645024441</v>
      </c>
      <c r="K103" s="3">
        <f t="shared" si="97"/>
        <v>8.7307336461453584</v>
      </c>
      <c r="L103" s="3">
        <f t="shared" si="81"/>
        <v>220.94859323315629</v>
      </c>
      <c r="M103" s="17">
        <v>0</v>
      </c>
      <c r="N103" s="3">
        <f t="shared" si="82"/>
        <v>0</v>
      </c>
      <c r="O103" s="3">
        <f t="shared" si="83"/>
        <v>0</v>
      </c>
      <c r="P103" s="5">
        <f t="shared" si="84"/>
        <v>0</v>
      </c>
      <c r="Q103" s="3">
        <f t="shared" si="85"/>
        <v>0</v>
      </c>
      <c r="R103" s="5">
        <f t="shared" si="86"/>
        <v>0</v>
      </c>
      <c r="S103" s="3">
        <f t="shared" si="87"/>
        <v>0</v>
      </c>
      <c r="V103" s="1">
        <f t="shared" si="98"/>
        <v>8</v>
      </c>
      <c r="W103" s="3">
        <f t="shared" si="99"/>
        <v>0</v>
      </c>
      <c r="X103" s="3"/>
      <c r="Y103" s="3">
        <f t="shared" si="100"/>
        <v>87290.281061367452</v>
      </c>
      <c r="Z103" s="3">
        <f t="shared" si="101"/>
        <v>50000</v>
      </c>
      <c r="AA103" s="3">
        <f t="shared" si="102"/>
        <v>37290.281061367452</v>
      </c>
      <c r="AB103" s="6">
        <f t="shared" si="103"/>
        <v>31.353125945215819</v>
      </c>
      <c r="AC103" s="6"/>
      <c r="AD103" s="5">
        <f t="shared" si="104"/>
        <v>2784.1013752150957</v>
      </c>
      <c r="AE103" s="3">
        <f t="shared" si="105"/>
        <v>2444.1278697182888</v>
      </c>
      <c r="AF103" s="3"/>
      <c r="AG103" s="3">
        <f t="shared" si="89"/>
        <v>2444.1278697182888</v>
      </c>
      <c r="AH103" s="3">
        <f t="shared" si="78"/>
        <v>3666.1918045774337</v>
      </c>
      <c r="AI103" s="3">
        <f t="shared" si="90"/>
        <v>93400.600735663174</v>
      </c>
    </row>
    <row r="104" spans="2:35" x14ac:dyDescent="0.25">
      <c r="B104" s="1">
        <f t="shared" si="91"/>
        <v>9</v>
      </c>
      <c r="D104" s="3">
        <f t="shared" si="92"/>
        <v>220.94859323315629</v>
      </c>
      <c r="E104" s="6">
        <f t="shared" si="93"/>
        <v>32.669957234914882</v>
      </c>
      <c r="F104" s="6">
        <f t="shared" si="106"/>
        <v>22.613085082272182</v>
      </c>
      <c r="G104" s="5">
        <f t="shared" si="107"/>
        <v>111.80878320681776</v>
      </c>
      <c r="H104" s="3">
        <f t="shared" si="79"/>
        <v>6.1865606105283764</v>
      </c>
      <c r="I104" s="3">
        <f t="shared" si="96"/>
        <v>4.6164115275762745</v>
      </c>
      <c r="J104" s="3">
        <f t="shared" si="80"/>
        <v>4.6164115275762745</v>
      </c>
      <c r="K104" s="3">
        <f t="shared" si="97"/>
        <v>9.2798409157925654</v>
      </c>
      <c r="L104" s="3">
        <f t="shared" si="81"/>
        <v>234.84484567652513</v>
      </c>
      <c r="M104" s="17">
        <v>0</v>
      </c>
      <c r="N104" s="3">
        <f t="shared" si="82"/>
        <v>0</v>
      </c>
      <c r="O104" s="3">
        <f t="shared" si="83"/>
        <v>0</v>
      </c>
      <c r="P104" s="5">
        <f t="shared" si="84"/>
        <v>0</v>
      </c>
      <c r="Q104" s="3">
        <f t="shared" si="85"/>
        <v>0</v>
      </c>
      <c r="R104" s="5">
        <f t="shared" si="86"/>
        <v>0</v>
      </c>
      <c r="S104" s="3">
        <f t="shared" si="87"/>
        <v>0</v>
      </c>
      <c r="V104" s="1">
        <f t="shared" si="98"/>
        <v>9</v>
      </c>
      <c r="W104" s="3">
        <f t="shared" si="99"/>
        <v>0</v>
      </c>
      <c r="X104" s="3"/>
      <c r="Y104" s="3">
        <f t="shared" si="100"/>
        <v>93400.600735663174</v>
      </c>
      <c r="Z104" s="3">
        <f t="shared" si="101"/>
        <v>50000</v>
      </c>
      <c r="AA104" s="3">
        <f t="shared" si="102"/>
        <v>43400.600735663174</v>
      </c>
      <c r="AB104" s="6">
        <f t="shared" si="103"/>
        <v>32.669957234914882</v>
      </c>
      <c r="AC104" s="6"/>
      <c r="AD104" s="5">
        <f t="shared" si="104"/>
        <v>2858.9140801153094</v>
      </c>
      <c r="AE104" s="3">
        <f t="shared" si="105"/>
        <v>2615.216820598569</v>
      </c>
      <c r="AF104" s="3"/>
      <c r="AG104" s="3">
        <f>AE104-AM105</f>
        <v>2615.216820598569</v>
      </c>
      <c r="AH104" s="3">
        <f t="shared" si="78"/>
        <v>3922.825230897854</v>
      </c>
      <c r="AI104" s="3">
        <f t="shared" si="90"/>
        <v>99938.642787159595</v>
      </c>
    </row>
    <row r="105" spans="2:35" x14ac:dyDescent="0.25">
      <c r="B105" s="1">
        <f t="shared" si="91"/>
        <v>10</v>
      </c>
      <c r="D105" s="3">
        <f t="shared" si="92"/>
        <v>234.84484567652513</v>
      </c>
      <c r="E105" s="6">
        <f t="shared" si="93"/>
        <v>34.04209543878131</v>
      </c>
      <c r="F105" s="6">
        <f t="shared" si="106"/>
        <v>22.626930131866253</v>
      </c>
      <c r="G105" s="5">
        <f t="shared" si="107"/>
        <v>111.94439211890362</v>
      </c>
      <c r="H105" s="3">
        <f t="shared" si="79"/>
        <v>6.5756556789427032</v>
      </c>
      <c r="I105" s="3">
        <f t="shared" si="96"/>
        <v>4.9067542676270453</v>
      </c>
      <c r="J105" s="3">
        <f t="shared" si="80"/>
        <v>4.9067542676270453</v>
      </c>
      <c r="K105" s="3">
        <f t="shared" si="97"/>
        <v>9.863483518414057</v>
      </c>
      <c r="L105" s="3">
        <f t="shared" si="81"/>
        <v>249.61508346256622</v>
      </c>
      <c r="M105" s="17">
        <v>0</v>
      </c>
      <c r="N105" s="3">
        <f t="shared" si="82"/>
        <v>0</v>
      </c>
      <c r="O105" s="3">
        <f t="shared" si="83"/>
        <v>0</v>
      </c>
      <c r="P105" s="5">
        <f t="shared" si="84"/>
        <v>0</v>
      </c>
      <c r="Q105" s="3">
        <f t="shared" si="85"/>
        <v>0</v>
      </c>
      <c r="R105" s="5">
        <f t="shared" si="86"/>
        <v>0</v>
      </c>
      <c r="S105" s="3">
        <f t="shared" si="87"/>
        <v>0</v>
      </c>
      <c r="V105" s="1">
        <f t="shared" si="98"/>
        <v>10</v>
      </c>
      <c r="W105" s="3">
        <f t="shared" si="99"/>
        <v>0</v>
      </c>
      <c r="X105" s="3"/>
      <c r="Y105" s="3">
        <f t="shared" si="100"/>
        <v>99938.64278715961</v>
      </c>
      <c r="Z105" s="3">
        <f t="shared" si="101"/>
        <v>50000</v>
      </c>
      <c r="AA105" s="3">
        <f t="shared" si="102"/>
        <v>49938.64278715961</v>
      </c>
      <c r="AB105" s="6">
        <f t="shared" si="103"/>
        <v>34.04209543878131</v>
      </c>
      <c r="AC105" s="6"/>
      <c r="AD105" s="5">
        <f t="shared" si="104"/>
        <v>2935.7371072201354</v>
      </c>
      <c r="AE105" s="3">
        <f t="shared" si="105"/>
        <v>2798.2819980404693</v>
      </c>
      <c r="AF105" s="3"/>
      <c r="AG105" s="3">
        <f t="shared" ref="AG105:AG111" si="108">AE105-AM106</f>
        <v>2798.2819980404693</v>
      </c>
      <c r="AH105" s="3">
        <f t="shared" si="78"/>
        <v>4197.4229970607048</v>
      </c>
      <c r="AI105" s="3">
        <f t="shared" si="90"/>
        <v>106934.3477822608</v>
      </c>
    </row>
    <row r="106" spans="2:35" x14ac:dyDescent="0.25">
      <c r="B106" s="1">
        <f t="shared" si="91"/>
        <v>11</v>
      </c>
      <c r="D106" s="3">
        <f t="shared" si="92"/>
        <v>249.61508346256622</v>
      </c>
      <c r="E106" s="6">
        <f t="shared" si="93"/>
        <v>35.471863447210126</v>
      </c>
      <c r="F106" s="6">
        <f t="shared" si="106"/>
        <v>22.642782841189508</v>
      </c>
      <c r="G106" s="5">
        <f t="shared" si="107"/>
        <v>112.08272018489117</v>
      </c>
      <c r="H106" s="3">
        <f t="shared" si="79"/>
        <v>6.9892223369518547</v>
      </c>
      <c r="I106" s="3">
        <f t="shared" si="96"/>
        <v>5.2153577078334736</v>
      </c>
      <c r="J106" s="3">
        <f t="shared" si="80"/>
        <v>5.2153577078334736</v>
      </c>
      <c r="K106" s="3">
        <f t="shared" si="97"/>
        <v>10.483833505427784</v>
      </c>
      <c r="L106" s="3">
        <f t="shared" si="81"/>
        <v>265.31427467582751</v>
      </c>
      <c r="M106" s="17">
        <v>0</v>
      </c>
      <c r="N106" s="3">
        <f t="shared" si="82"/>
        <v>0</v>
      </c>
      <c r="O106" s="3">
        <f t="shared" si="83"/>
        <v>0</v>
      </c>
      <c r="P106" s="5">
        <f t="shared" si="84"/>
        <v>0</v>
      </c>
      <c r="Q106" s="3">
        <f t="shared" si="85"/>
        <v>0</v>
      </c>
      <c r="R106" s="5">
        <f t="shared" si="86"/>
        <v>0</v>
      </c>
      <c r="S106" s="3">
        <f t="shared" si="87"/>
        <v>0</v>
      </c>
      <c r="V106" s="1">
        <f t="shared" si="98"/>
        <v>11</v>
      </c>
      <c r="W106" s="3">
        <f t="shared" si="99"/>
        <v>0</v>
      </c>
      <c r="X106" s="3"/>
      <c r="Y106" s="3">
        <f t="shared" si="100"/>
        <v>106934.34778226078</v>
      </c>
      <c r="Z106" s="3">
        <f t="shared" si="101"/>
        <v>50000</v>
      </c>
      <c r="AA106" s="3">
        <f t="shared" si="102"/>
        <v>56934.347782260782</v>
      </c>
      <c r="AB106" s="6">
        <f t="shared" si="103"/>
        <v>35.471863447210126</v>
      </c>
      <c r="AC106" s="6"/>
      <c r="AD106" s="5">
        <f t="shared" si="104"/>
        <v>3014.624476703978</v>
      </c>
      <c r="AE106" s="3">
        <f t="shared" si="105"/>
        <v>2994.1617379033019</v>
      </c>
      <c r="AF106" s="3"/>
      <c r="AG106" s="3">
        <f t="shared" si="108"/>
        <v>2994.1617379033019</v>
      </c>
      <c r="AH106" s="3">
        <f t="shared" si="78"/>
        <v>4491.2426068549539</v>
      </c>
      <c r="AI106" s="3">
        <f t="shared" si="90"/>
        <v>114419.75212701903</v>
      </c>
    </row>
    <row r="107" spans="2:35" x14ac:dyDescent="0.25">
      <c r="B107" s="1">
        <f t="shared" si="91"/>
        <v>12</v>
      </c>
      <c r="D107" s="3">
        <f t="shared" si="92"/>
        <v>265.31427467582751</v>
      </c>
      <c r="E107" s="6">
        <f t="shared" si="93"/>
        <v>36.961681711992952</v>
      </c>
      <c r="F107" s="6">
        <f t="shared" si="106"/>
        <v>22.660786341261986</v>
      </c>
      <c r="G107" s="5">
        <f t="shared" si="107"/>
        <v>112.22382192773047</v>
      </c>
      <c r="H107" s="3">
        <f t="shared" si="79"/>
        <v>7.4287996909231699</v>
      </c>
      <c r="I107" s="3">
        <f t="shared" si="96"/>
        <v>5.5433703293668692</v>
      </c>
      <c r="J107" s="3">
        <f t="shared" si="80"/>
        <v>5.5433703293668692</v>
      </c>
      <c r="K107" s="3">
        <f t="shared" si="97"/>
        <v>11.143199536384758</v>
      </c>
      <c r="L107" s="3">
        <f t="shared" si="81"/>
        <v>282.00084454157917</v>
      </c>
      <c r="M107" s="17">
        <v>0</v>
      </c>
      <c r="N107" s="3">
        <f t="shared" si="82"/>
        <v>0</v>
      </c>
      <c r="O107" s="3">
        <f t="shared" si="83"/>
        <v>0</v>
      </c>
      <c r="P107" s="5">
        <f t="shared" si="84"/>
        <v>0</v>
      </c>
      <c r="Q107" s="3">
        <f t="shared" si="85"/>
        <v>0</v>
      </c>
      <c r="R107" s="5">
        <f t="shared" si="86"/>
        <v>0</v>
      </c>
      <c r="S107" s="3">
        <f t="shared" si="87"/>
        <v>0</v>
      </c>
      <c r="V107" s="1">
        <f t="shared" si="98"/>
        <v>12</v>
      </c>
      <c r="W107" s="3">
        <f t="shared" si="99"/>
        <v>0</v>
      </c>
      <c r="X107" s="3"/>
      <c r="Y107" s="3">
        <f t="shared" si="100"/>
        <v>114419.75212701905</v>
      </c>
      <c r="Z107" s="3">
        <f t="shared" si="101"/>
        <v>50000</v>
      </c>
      <c r="AA107" s="3">
        <f t="shared" si="102"/>
        <v>64419.752127019048</v>
      </c>
      <c r="AB107" s="6">
        <f t="shared" si="103"/>
        <v>36.961681711992952</v>
      </c>
      <c r="AC107" s="6"/>
      <c r="AD107" s="5">
        <f t="shared" si="104"/>
        <v>3095.6316603390178</v>
      </c>
      <c r="AE107" s="3">
        <f t="shared" si="105"/>
        <v>3203.7530595565336</v>
      </c>
      <c r="AF107" s="3"/>
      <c r="AG107" s="3">
        <f t="shared" si="108"/>
        <v>3203.7530595565336</v>
      </c>
      <c r="AH107" s="3">
        <f t="shared" si="78"/>
        <v>4805.6295893348015</v>
      </c>
      <c r="AI107" s="3">
        <f t="shared" si="90"/>
        <v>122429.13477591038</v>
      </c>
    </row>
    <row r="108" spans="2:35" x14ac:dyDescent="0.25">
      <c r="B108" s="1">
        <f t="shared" si="91"/>
        <v>13</v>
      </c>
      <c r="D108" s="3">
        <f t="shared" si="92"/>
        <v>282.00084454157917</v>
      </c>
      <c r="E108" s="6">
        <f t="shared" si="93"/>
        <v>38.514072343896657</v>
      </c>
      <c r="F108" s="6">
        <f t="shared" si="106"/>
        <v>22.681092699773863</v>
      </c>
      <c r="G108" s="5">
        <f t="shared" si="107"/>
        <v>112.3677529636352</v>
      </c>
      <c r="H108" s="3">
        <f t="shared" si="79"/>
        <v>7.8960236471642169</v>
      </c>
      <c r="I108" s="3">
        <f t="shared" si="96"/>
        <v>5.8920128455139382</v>
      </c>
      <c r="J108" s="3">
        <f t="shared" si="80"/>
        <v>5.8920128455139382</v>
      </c>
      <c r="K108" s="3">
        <f t="shared" si="97"/>
        <v>11.844035470746327</v>
      </c>
      <c r="L108" s="3">
        <f t="shared" si="81"/>
        <v>299.73689285783945</v>
      </c>
      <c r="M108" s="17">
        <v>0</v>
      </c>
      <c r="N108" s="3">
        <f t="shared" si="82"/>
        <v>0</v>
      </c>
      <c r="O108" s="3">
        <f t="shared" si="83"/>
        <v>0</v>
      </c>
      <c r="P108" s="5">
        <f t="shared" si="84"/>
        <v>0</v>
      </c>
      <c r="Q108" s="3">
        <f t="shared" si="85"/>
        <v>0</v>
      </c>
      <c r="R108" s="5">
        <f t="shared" si="86"/>
        <v>0</v>
      </c>
      <c r="S108" s="3">
        <f t="shared" si="87"/>
        <v>0</v>
      </c>
      <c r="V108" s="1">
        <f t="shared" si="98"/>
        <v>13</v>
      </c>
      <c r="W108" s="3">
        <f t="shared" si="99"/>
        <v>0</v>
      </c>
      <c r="X108" s="3"/>
      <c r="Y108" s="3">
        <f t="shared" si="100"/>
        <v>122429.13477591038</v>
      </c>
      <c r="Z108" s="3">
        <f t="shared" si="101"/>
        <v>50000</v>
      </c>
      <c r="AA108" s="3">
        <f t="shared" si="102"/>
        <v>72429.134775910381</v>
      </c>
      <c r="AB108" s="6">
        <f t="shared" si="103"/>
        <v>38.514072343896657</v>
      </c>
      <c r="AC108" s="6"/>
      <c r="AD108" s="5">
        <f t="shared" si="104"/>
        <v>3178.8156205016785</v>
      </c>
      <c r="AE108" s="3">
        <f t="shared" si="105"/>
        <v>3428.0157737254908</v>
      </c>
      <c r="AF108" s="3"/>
      <c r="AG108" s="3">
        <f t="shared" si="108"/>
        <v>3428.0157737254908</v>
      </c>
      <c r="AH108" s="3">
        <f t="shared" si="78"/>
        <v>5142.0236605882374</v>
      </c>
      <c r="AI108" s="3">
        <f t="shared" si="90"/>
        <v>130999.17421022411</v>
      </c>
    </row>
    <row r="109" spans="2:35" x14ac:dyDescent="0.25">
      <c r="B109" s="1">
        <f t="shared" si="91"/>
        <v>14</v>
      </c>
      <c r="D109" s="3">
        <f t="shared" si="92"/>
        <v>299.73689285783945</v>
      </c>
      <c r="E109" s="6">
        <f t="shared" si="93"/>
        <v>40.131663382340321</v>
      </c>
      <c r="F109" s="6">
        <f t="shared" si="106"/>
        <v>22.703863452831261</v>
      </c>
      <c r="G109" s="5">
        <f t="shared" si="107"/>
        <v>112.51457002400421</v>
      </c>
      <c r="H109" s="3">
        <f t="shared" si="79"/>
        <v>8.3926330000195044</v>
      </c>
      <c r="I109" s="3">
        <f t="shared" si="96"/>
        <v>6.2625827446145541</v>
      </c>
      <c r="J109" s="3">
        <f t="shared" si="80"/>
        <v>6.2625827446145541</v>
      </c>
      <c r="K109" s="3">
        <f t="shared" si="97"/>
        <v>12.58894950002926</v>
      </c>
      <c r="L109" s="3">
        <f t="shared" si="81"/>
        <v>318.58842510248331</v>
      </c>
      <c r="M109" s="17">
        <v>0</v>
      </c>
      <c r="N109" s="3">
        <f t="shared" si="82"/>
        <v>0</v>
      </c>
      <c r="O109" s="3">
        <f t="shared" si="83"/>
        <v>0</v>
      </c>
      <c r="P109" s="5">
        <f t="shared" si="84"/>
        <v>0</v>
      </c>
      <c r="Q109" s="3">
        <f t="shared" si="85"/>
        <v>0</v>
      </c>
      <c r="R109" s="5">
        <f t="shared" si="86"/>
        <v>0</v>
      </c>
      <c r="S109" s="3">
        <f t="shared" si="87"/>
        <v>0</v>
      </c>
      <c r="V109" s="1">
        <f t="shared" si="98"/>
        <v>14</v>
      </c>
      <c r="W109" s="3">
        <f t="shared" si="99"/>
        <v>0</v>
      </c>
      <c r="X109" s="3"/>
      <c r="Y109" s="3">
        <f t="shared" si="100"/>
        <v>130999.17421022414</v>
      </c>
      <c r="Z109" s="3">
        <f t="shared" si="101"/>
        <v>50000</v>
      </c>
      <c r="AA109" s="3">
        <f t="shared" si="102"/>
        <v>80999.174210224141</v>
      </c>
      <c r="AB109" s="6">
        <f t="shared" si="103"/>
        <v>40.131663382340321</v>
      </c>
      <c r="AC109" s="6"/>
      <c r="AD109" s="5">
        <f t="shared" si="104"/>
        <v>3264.2348502272516</v>
      </c>
      <c r="AE109" s="3">
        <f t="shared" si="105"/>
        <v>3667.9768778862758</v>
      </c>
      <c r="AF109" s="3"/>
      <c r="AG109" s="3">
        <f t="shared" si="108"/>
        <v>3667.9768778862758</v>
      </c>
      <c r="AH109" s="3">
        <f t="shared" si="78"/>
        <v>5501.9653168294153</v>
      </c>
      <c r="AI109" s="3">
        <f t="shared" si="90"/>
        <v>140169.11640493982</v>
      </c>
    </row>
    <row r="110" spans="2:35" x14ac:dyDescent="0.25">
      <c r="B110" s="1">
        <f t="shared" si="91"/>
        <v>15</v>
      </c>
      <c r="D110" s="3">
        <f t="shared" si="92"/>
        <v>318.58842510248331</v>
      </c>
      <c r="E110" s="6">
        <f t="shared" si="93"/>
        <v>41.817193244398617</v>
      </c>
      <c r="F110" s="6">
        <f t="shared" si="106"/>
        <v>22.729270167402085</v>
      </c>
      <c r="G110" s="5">
        <f t="shared" si="107"/>
        <v>112.66433097778256</v>
      </c>
      <c r="H110" s="3">
        <f t="shared" si="79"/>
        <v>8.9204759028695335</v>
      </c>
      <c r="I110" s="3">
        <f t="shared" si="96"/>
        <v>6.6564591187212461</v>
      </c>
      <c r="J110" s="3">
        <f t="shared" si="80"/>
        <v>6.6564591187212461</v>
      </c>
      <c r="K110" s="3">
        <f t="shared" si="97"/>
        <v>13.380713854304302</v>
      </c>
      <c r="L110" s="3">
        <f t="shared" si="81"/>
        <v>338.62559807550889</v>
      </c>
      <c r="M110" s="17">
        <v>0</v>
      </c>
      <c r="N110" s="3">
        <f t="shared" si="82"/>
        <v>0</v>
      </c>
      <c r="O110" s="3">
        <f t="shared" si="83"/>
        <v>0</v>
      </c>
      <c r="P110" s="5">
        <f t="shared" si="84"/>
        <v>0</v>
      </c>
      <c r="Q110" s="3">
        <f t="shared" si="85"/>
        <v>0</v>
      </c>
      <c r="R110" s="5">
        <f t="shared" si="86"/>
        <v>0</v>
      </c>
      <c r="S110" s="3">
        <f t="shared" si="87"/>
        <v>0</v>
      </c>
      <c r="V110" s="1">
        <f t="shared" si="98"/>
        <v>15</v>
      </c>
      <c r="X110" s="3"/>
      <c r="Y110" s="3">
        <f t="shared" si="100"/>
        <v>140169.11640493982</v>
      </c>
      <c r="Z110" s="3">
        <f t="shared" si="101"/>
        <v>50000</v>
      </c>
      <c r="AA110" s="3">
        <f t="shared" si="102"/>
        <v>90169.116404939821</v>
      </c>
      <c r="AB110" s="6">
        <f t="shared" si="103"/>
        <v>41.817193244398617</v>
      </c>
      <c r="AC110" s="6"/>
      <c r="AD110" s="5">
        <f t="shared" si="104"/>
        <v>3351.9494143408438</v>
      </c>
      <c r="AE110" s="3">
        <f t="shared" si="105"/>
        <v>3924.7352593383152</v>
      </c>
      <c r="AF110" s="3"/>
      <c r="AG110" s="3">
        <f t="shared" si="108"/>
        <v>3924.7352593383152</v>
      </c>
      <c r="AH110" s="3">
        <f t="shared" si="78"/>
        <v>5887.102889007474</v>
      </c>
      <c r="AI110" s="3">
        <f t="shared" si="90"/>
        <v>149980.95455328561</v>
      </c>
    </row>
    <row r="111" spans="2:35" x14ac:dyDescent="0.25">
      <c r="B111" s="1">
        <f t="shared" si="91"/>
        <v>16</v>
      </c>
      <c r="D111" s="3">
        <f t="shared" si="92"/>
        <v>338.62559807550889</v>
      </c>
      <c r="E111" s="6">
        <f t="shared" si="93"/>
        <v>43.573515360663357</v>
      </c>
      <c r="F111" s="6">
        <f t="shared" si="106"/>
        <v>22.757495036180259</v>
      </c>
      <c r="G111" s="5">
        <f t="shared" si="107"/>
        <v>112.81709485427095</v>
      </c>
      <c r="H111" s="3">
        <f t="shared" si="79"/>
        <v>9.4815167461142487</v>
      </c>
      <c r="I111" s="3">
        <f t="shared" si="96"/>
        <v>7.0751077959504522</v>
      </c>
      <c r="J111" s="3">
        <f t="shared" si="80"/>
        <v>7.0751077959504522</v>
      </c>
      <c r="K111" s="3">
        <f t="shared" si="97"/>
        <v>14.222275119171377</v>
      </c>
      <c r="L111" s="3">
        <f t="shared" si="81"/>
        <v>359.92298099063072</v>
      </c>
      <c r="M111" s="17">
        <v>0</v>
      </c>
      <c r="N111" s="3">
        <f t="shared" si="82"/>
        <v>0</v>
      </c>
      <c r="O111" s="3">
        <f t="shared" si="83"/>
        <v>0</v>
      </c>
      <c r="P111" s="5">
        <f t="shared" si="84"/>
        <v>0</v>
      </c>
      <c r="Q111" s="3">
        <f t="shared" si="85"/>
        <v>0</v>
      </c>
      <c r="R111" s="5">
        <f t="shared" si="86"/>
        <v>0</v>
      </c>
      <c r="S111" s="3">
        <f t="shared" si="87"/>
        <v>0</v>
      </c>
      <c r="V111" s="1">
        <f t="shared" si="98"/>
        <v>16</v>
      </c>
      <c r="X111" s="3"/>
      <c r="Y111" s="3">
        <f t="shared" si="100"/>
        <v>149980.95455328561</v>
      </c>
      <c r="Z111" s="3">
        <f t="shared" si="101"/>
        <v>50000</v>
      </c>
      <c r="AA111" s="3">
        <f t="shared" si="102"/>
        <v>99980.954553285614</v>
      </c>
      <c r="AB111" s="6">
        <f t="shared" si="103"/>
        <v>43.573515360663357</v>
      </c>
      <c r="AC111" s="6"/>
      <c r="AD111" s="5">
        <f t="shared" si="104"/>
        <v>3442.0209916935728</v>
      </c>
      <c r="AE111" s="3">
        <f t="shared" si="105"/>
        <v>4199.4667274919975</v>
      </c>
      <c r="AF111" s="3"/>
      <c r="AG111" s="3">
        <f t="shared" si="108"/>
        <v>4199.4667274919975</v>
      </c>
      <c r="AH111" s="3">
        <f t="shared" si="78"/>
        <v>6299.2000912379972</v>
      </c>
      <c r="AI111" s="3">
        <f t="shared" si="90"/>
        <v>160479.62137201559</v>
      </c>
    </row>
    <row r="112" spans="2:35" x14ac:dyDescent="0.25">
      <c r="B112" s="1">
        <f t="shared" si="91"/>
        <v>17</v>
      </c>
      <c r="D112" s="3">
        <f t="shared" si="92"/>
        <v>359.92298099063072</v>
      </c>
      <c r="E112" s="6">
        <f t="shared" si="93"/>
        <v>45.40360300581122</v>
      </c>
      <c r="F112" s="6">
        <f t="shared" si="106"/>
        <v>22.788731506679479</v>
      </c>
      <c r="G112" s="5">
        <f t="shared" si="107"/>
        <v>112.97292186639254</v>
      </c>
      <c r="H112" s="3">
        <f t="shared" si="79"/>
        <v>10.07784346773766</v>
      </c>
      <c r="I112" s="3">
        <f t="shared" si="96"/>
        <v>7.5200867956258417</v>
      </c>
      <c r="J112" s="3">
        <f t="shared" si="80"/>
        <v>0</v>
      </c>
      <c r="K112" s="3">
        <f t="shared" si="97"/>
        <v>15.116765201606494</v>
      </c>
      <c r="L112" s="3">
        <f t="shared" si="81"/>
        <v>382.55983298786305</v>
      </c>
      <c r="M112" s="17">
        <v>0</v>
      </c>
      <c r="N112" s="3">
        <f t="shared" si="82"/>
        <v>0</v>
      </c>
      <c r="O112" s="3">
        <f t="shared" si="83"/>
        <v>0</v>
      </c>
      <c r="P112" s="5">
        <f t="shared" si="84"/>
        <v>0</v>
      </c>
      <c r="Q112" s="3">
        <f t="shared" si="85"/>
        <v>0</v>
      </c>
      <c r="R112" s="5">
        <f t="shared" si="86"/>
        <v>0</v>
      </c>
      <c r="S112" s="3">
        <f t="shared" si="87"/>
        <v>0</v>
      </c>
      <c r="V112" s="1">
        <f t="shared" si="98"/>
        <v>17</v>
      </c>
      <c r="X112" s="3"/>
      <c r="Y112" s="3">
        <f t="shared" si="100"/>
        <v>160479.62137201562</v>
      </c>
      <c r="Z112" s="3">
        <f t="shared" si="101"/>
        <v>50000</v>
      </c>
      <c r="AA112" s="3">
        <f t="shared" si="102"/>
        <v>110479.62137201562</v>
      </c>
      <c r="AB112" s="6">
        <f>AB111*(1+$E$3)</f>
        <v>45.40360300581122</v>
      </c>
      <c r="AC112" s="6"/>
      <c r="AD112" s="5">
        <f t="shared" si="104"/>
        <v>3534.5129185337073</v>
      </c>
      <c r="AE112" s="3">
        <f t="shared" si="105"/>
        <v>4493.4293984164378</v>
      </c>
      <c r="AF112" s="3"/>
      <c r="AG112" s="3">
        <f>AE112-AM113</f>
        <v>0</v>
      </c>
      <c r="AH112" s="3">
        <f t="shared" si="78"/>
        <v>6740.1440976246577</v>
      </c>
      <c r="AI112" s="3">
        <f t="shared" si="90"/>
        <v>171713.19486805671</v>
      </c>
    </row>
    <row r="113" spans="1:48" x14ac:dyDescent="0.25">
      <c r="A113" s="20" t="s">
        <v>47</v>
      </c>
      <c r="B113" s="8">
        <f t="shared" si="91"/>
        <v>18</v>
      </c>
      <c r="C113" s="8"/>
      <c r="D113" s="11">
        <f t="shared" si="92"/>
        <v>278.00002980003921</v>
      </c>
      <c r="E113" s="12">
        <f t="shared" si="93"/>
        <v>47.310554332055297</v>
      </c>
      <c r="F113" s="12">
        <f t="shared" si="106"/>
        <v>22.788731506679479</v>
      </c>
      <c r="G113" s="13">
        <f t="shared" si="107"/>
        <v>112.97292186639254</v>
      </c>
      <c r="H113" s="11">
        <f t="shared" si="79"/>
        <v>7.7840008344010982</v>
      </c>
      <c r="I113" s="11">
        <f t="shared" si="96"/>
        <v>5.808421422630099</v>
      </c>
      <c r="J113" s="11">
        <f t="shared" si="80"/>
        <v>0</v>
      </c>
      <c r="K113" s="11">
        <f t="shared" si="97"/>
        <v>11.676001251601649</v>
      </c>
      <c r="L113" s="11">
        <f t="shared" si="81"/>
        <v>295.48445247427094</v>
      </c>
      <c r="M113" s="17">
        <v>104.55980318782382</v>
      </c>
      <c r="N113" s="11">
        <f>MIN(M113,I112)</f>
        <v>7.5200867956258417</v>
      </c>
      <c r="O113" s="11">
        <f>M113-N113</f>
        <v>97.039716392197974</v>
      </c>
      <c r="P113" s="13">
        <f>O113/E113</f>
        <v>2.0511219486271934</v>
      </c>
      <c r="Q113" s="11">
        <f>(E113-F113)*P113</f>
        <v>50.297249017475636</v>
      </c>
      <c r="R113" s="13">
        <f>Q113*$J$4</f>
        <v>10.914503036792214</v>
      </c>
      <c r="S113" s="11">
        <f>M113-R113</f>
        <v>93.645300151031606</v>
      </c>
      <c r="U113" s="20" t="s">
        <v>47</v>
      </c>
      <c r="V113" s="8">
        <f t="shared" si="98"/>
        <v>18</v>
      </c>
      <c r="W113" s="8"/>
      <c r="X113" s="8"/>
      <c r="Y113" s="11">
        <f t="shared" si="100"/>
        <v>124335.09848692102</v>
      </c>
      <c r="Z113" s="11">
        <f t="shared" si="101"/>
        <v>36204.29361367927</v>
      </c>
      <c r="AA113" s="11">
        <f>Y113-Z113</f>
        <v>88130.804873241752</v>
      </c>
      <c r="AB113" s="12">
        <f>AB112*(1+$E$3)</f>
        <v>47.310554332055297</v>
      </c>
      <c r="AC113" s="12"/>
      <c r="AD113" s="13">
        <f t="shared" si="104"/>
        <v>2628.0626013015808</v>
      </c>
      <c r="AE113" s="11">
        <f t="shared" si="105"/>
        <v>3481.3827576337885</v>
      </c>
      <c r="AF113" s="11"/>
      <c r="AG113" s="11">
        <f t="shared" ref="AG113:AG116" si="109">AE113-AM114</f>
        <v>0</v>
      </c>
      <c r="AH113" s="11">
        <f t="shared" si="78"/>
        <v>5222.0741364506839</v>
      </c>
      <c r="AI113" s="11">
        <f t="shared" si="90"/>
        <v>133038.55538100551</v>
      </c>
      <c r="AJ113" s="17">
        <v>47378.096381135714</v>
      </c>
      <c r="AK113" s="11">
        <f>AJ113*(Z112/(Y112+AE112+AH112))</f>
        <v>13795.706386320728</v>
      </c>
      <c r="AL113" s="11">
        <f>AJ113*(AA112+AE112+AH112)/(Y112+AE112+AH112)</f>
        <v>33582.389994814985</v>
      </c>
      <c r="AM113" s="11">
        <f>MIN(AE112,AL113)</f>
        <v>4493.4293984164378</v>
      </c>
      <c r="AN113" s="11">
        <f>AL113-AM113</f>
        <v>29088.960596398545</v>
      </c>
      <c r="AO113" s="8"/>
      <c r="AP113" s="8"/>
      <c r="AQ113" s="13">
        <f>AN113/AB113+AK113/AB113</f>
        <v>906.45031723212639</v>
      </c>
      <c r="AR113" s="8"/>
      <c r="AS113" s="11">
        <f>IF((AL113-$AF$6)&lt;0,0,(AL113-$AF$6)*$AF$5)</f>
        <v>3401.4313533051431</v>
      </c>
      <c r="AT113" s="11">
        <f>AJ113-AS113</f>
        <v>43976.665027830568</v>
      </c>
    </row>
    <row r="114" spans="1:48" x14ac:dyDescent="0.25">
      <c r="A114" s="8" t="s">
        <v>47</v>
      </c>
      <c r="B114" s="8">
        <f t="shared" si="91"/>
        <v>19</v>
      </c>
      <c r="C114" s="8"/>
      <c r="D114" s="11">
        <f t="shared" si="92"/>
        <v>190.92464928644713</v>
      </c>
      <c r="E114" s="12">
        <f t="shared" si="93"/>
        <v>49.297597614001624</v>
      </c>
      <c r="F114" s="12">
        <f t="shared" si="106"/>
        <v>22.788731506679479</v>
      </c>
      <c r="G114" s="13">
        <f t="shared" si="107"/>
        <v>112.97292186639254</v>
      </c>
      <c r="H114" s="11">
        <f t="shared" si="79"/>
        <v>5.3458901800205201</v>
      </c>
      <c r="I114" s="11">
        <f t="shared" si="96"/>
        <v>3.9891032523313119</v>
      </c>
      <c r="J114" s="11">
        <f t="shared" si="80"/>
        <v>0</v>
      </c>
      <c r="K114" s="11">
        <f t="shared" si="97"/>
        <v>8.018835270030781</v>
      </c>
      <c r="L114" s="11">
        <f t="shared" si="81"/>
        <v>202.93258780880925</v>
      </c>
      <c r="M114" s="11">
        <f>M113</f>
        <v>104.55980318782382</v>
      </c>
      <c r="N114" s="11">
        <f t="shared" ref="N114:N116" si="110">MIN(M114,I113)</f>
        <v>5.808421422630099</v>
      </c>
      <c r="O114" s="11">
        <f t="shared" ref="O114:O116" si="111">M114-N114</f>
        <v>98.751381765193713</v>
      </c>
      <c r="P114" s="13">
        <f>O114/E114</f>
        <v>2.0031682383067304</v>
      </c>
      <c r="Q114" s="11">
        <f>(E114-F114)*P114</f>
        <v>53.101718619713495</v>
      </c>
      <c r="R114" s="13">
        <f>Q114*$J$4</f>
        <v>11.523072940477828</v>
      </c>
      <c r="S114" s="11">
        <f t="shared" ref="S114:S116" si="112">M114-R114</f>
        <v>93.036730247345986</v>
      </c>
      <c r="U114" s="8" t="s">
        <v>47</v>
      </c>
      <c r="V114" s="8">
        <f>V113+1</f>
        <v>19</v>
      </c>
      <c r="W114" s="8"/>
      <c r="X114" s="8"/>
      <c r="Y114" s="11">
        <f t="shared" si="100"/>
        <v>85660.458999869792</v>
      </c>
      <c r="Z114" s="11">
        <f>W114+Z113-AK114</f>
        <v>23311.110075061773</v>
      </c>
      <c r="AA114" s="11">
        <f>Y114-Z114</f>
        <v>62349.348924808015</v>
      </c>
      <c r="AB114" s="12">
        <f>AB113*(1+$E$3)</f>
        <v>49.297597614001624</v>
      </c>
      <c r="AC114" s="12"/>
      <c r="AD114" s="13">
        <f t="shared" si="104"/>
        <v>1737.6193393963745</v>
      </c>
      <c r="AE114" s="11">
        <f t="shared" si="105"/>
        <v>2398.4928519963541</v>
      </c>
      <c r="AF114" s="11"/>
      <c r="AG114" s="11">
        <f t="shared" si="109"/>
        <v>0</v>
      </c>
      <c r="AH114" s="11">
        <f t="shared" si="78"/>
        <v>3597.7392779945321</v>
      </c>
      <c r="AI114" s="11">
        <f t="shared" si="90"/>
        <v>91656.691129860686</v>
      </c>
      <c r="AJ114" s="11">
        <f>AJ113</f>
        <v>47378.096381135714</v>
      </c>
      <c r="AK114" s="11">
        <f>AJ114*(Z113/(Y113+AE113+AH113))</f>
        <v>12893.183538617497</v>
      </c>
      <c r="AL114" s="11">
        <f>AJ114*(AA113+AE113+AH113)/(Y113+AE113+AH113)</f>
        <v>34484.912842518206</v>
      </c>
      <c r="AM114" s="11">
        <f>MIN(AE113,AL114)</f>
        <v>3481.3827576337885</v>
      </c>
      <c r="AN114" s="11">
        <f>AL114-AM114</f>
        <v>31003.530084884416</v>
      </c>
      <c r="AO114" s="8"/>
      <c r="AP114" s="8"/>
      <c r="AQ114" s="13">
        <f>AN114/AB114+AK114/AB114</f>
        <v>890.4432619052061</v>
      </c>
      <c r="AR114" s="8"/>
      <c r="AS114" s="11">
        <f t="shared" ref="AS114:AS115" si="113">IF((AL114-$AF$6)&lt;0,0,(AL114-$AF$6)*$AF$5)</f>
        <v>3582.387184269639</v>
      </c>
      <c r="AT114" s="11">
        <f>AJ114-AS114</f>
        <v>43795.709196866075</v>
      </c>
    </row>
    <row r="115" spans="1:48" x14ac:dyDescent="0.25">
      <c r="A115" s="8" t="s">
        <v>47</v>
      </c>
      <c r="B115" s="8">
        <f t="shared" si="91"/>
        <v>20</v>
      </c>
      <c r="C115" s="8"/>
      <c r="D115" s="11">
        <f t="shared" si="92"/>
        <v>98.372784620985428</v>
      </c>
      <c r="E115" s="12">
        <f t="shared" si="93"/>
        <v>51.368096713789697</v>
      </c>
      <c r="F115" s="12">
        <f t="shared" si="106"/>
        <v>22.788731506679479</v>
      </c>
      <c r="G115" s="13">
        <f t="shared" si="107"/>
        <v>112.97292186639254</v>
      </c>
      <c r="H115" s="11">
        <f t="shared" si="79"/>
        <v>2.7544379693875922</v>
      </c>
      <c r="I115" s="11">
        <f t="shared" si="96"/>
        <v>2.0553616127570211</v>
      </c>
      <c r="J115" s="11">
        <f t="shared" si="80"/>
        <v>0</v>
      </c>
      <c r="K115" s="11">
        <f t="shared" si="97"/>
        <v>4.1316569540813886</v>
      </c>
      <c r="L115" s="11">
        <f t="shared" si="81"/>
        <v>104.55980318782385</v>
      </c>
      <c r="M115" s="11">
        <f>M114</f>
        <v>104.55980318782382</v>
      </c>
      <c r="N115" s="11">
        <f t="shared" si="110"/>
        <v>3.9891032523313119</v>
      </c>
      <c r="O115" s="11">
        <f t="shared" si="111"/>
        <v>100.5706999354925</v>
      </c>
      <c r="P115" s="13">
        <f>O115/E115</f>
        <v>1.9578436105166113</v>
      </c>
      <c r="Q115" s="11">
        <f>(E115-F115)*P115</f>
        <v>55.953927563361489</v>
      </c>
      <c r="R115" s="13">
        <f>Q115*$J$4</f>
        <v>12.142002281249443</v>
      </c>
      <c r="S115" s="11">
        <f t="shared" si="112"/>
        <v>92.417800906574371</v>
      </c>
      <c r="U115" s="8" t="s">
        <v>47</v>
      </c>
      <c r="V115" s="8">
        <f t="shared" si="98"/>
        <v>20</v>
      </c>
      <c r="W115" s="8"/>
      <c r="X115" s="8"/>
      <c r="Y115" s="11">
        <f t="shared" si="100"/>
        <v>44278.594748724972</v>
      </c>
      <c r="Z115" s="11">
        <f t="shared" ref="Z115:Z116" si="114">W115+Z114-AK115</f>
        <v>11261.405833363176</v>
      </c>
      <c r="AA115" s="11">
        <f t="shared" ref="AA115:AA116" si="115">Y115-Z115</f>
        <v>33017.188915361796</v>
      </c>
      <c r="AB115" s="12">
        <f t="shared" ref="AB115:AB116" si="116">AB114*(1+$E$3)</f>
        <v>51.368096713789697</v>
      </c>
      <c r="AC115" s="12"/>
      <c r="AD115" s="13">
        <f t="shared" si="104"/>
        <v>861.98628295368485</v>
      </c>
      <c r="AE115" s="11">
        <f t="shared" si="105"/>
        <v>1239.8006529642992</v>
      </c>
      <c r="AF115" s="11"/>
      <c r="AG115" s="11">
        <f t="shared" si="109"/>
        <v>0</v>
      </c>
      <c r="AH115" s="11">
        <f t="shared" si="78"/>
        <v>1859.7009794464493</v>
      </c>
      <c r="AI115" s="11">
        <f t="shared" si="90"/>
        <v>47378.096381135721</v>
      </c>
      <c r="AJ115" s="11">
        <f>AJ114</f>
        <v>47378.096381135714</v>
      </c>
      <c r="AK115" s="11">
        <f>AJ115*(Z114/(Y114+AE114+AH114))</f>
        <v>12049.704241698597</v>
      </c>
      <c r="AL115" s="11">
        <f>AJ115*(AA114+AE114+AH114)/(Y114+AE114+AH114)</f>
        <v>35328.392139437114</v>
      </c>
      <c r="AM115" s="11">
        <f t="shared" ref="AM115:AM116" si="117">MIN(AE114,AL115)</f>
        <v>2398.4928519963541</v>
      </c>
      <c r="AN115" s="11">
        <f t="shared" ref="AN115:AN116" si="118">AL115-AM115</f>
        <v>32929.899287440756</v>
      </c>
      <c r="AO115" s="8"/>
      <c r="AP115" s="8"/>
      <c r="AQ115" s="13">
        <f t="shared" ref="AQ115" si="119">AN115/AB115+AK115/AB115</f>
        <v>875.63305644268962</v>
      </c>
      <c r="AR115" s="8"/>
      <c r="AS115" s="11">
        <f t="shared" si="113"/>
        <v>3751.5047833018798</v>
      </c>
      <c r="AT115" s="11">
        <f t="shared" ref="AT115:AT116" si="120">AJ115-AS115</f>
        <v>43626.591597833831</v>
      </c>
    </row>
    <row r="116" spans="1:48" x14ac:dyDescent="0.25">
      <c r="A116" s="8" t="s">
        <v>47</v>
      </c>
      <c r="B116" s="8">
        <f t="shared" si="91"/>
        <v>21</v>
      </c>
      <c r="C116" s="8"/>
      <c r="D116" s="11">
        <f t="shared" si="92"/>
        <v>2.8421709430404007E-14</v>
      </c>
      <c r="E116" s="12">
        <f t="shared" si="93"/>
        <v>53.525556775768869</v>
      </c>
      <c r="F116" s="12">
        <f t="shared" si="106"/>
        <v>22.788731506679479</v>
      </c>
      <c r="G116" s="13">
        <f t="shared" si="107"/>
        <v>112.97292186639254</v>
      </c>
      <c r="H116" s="11">
        <f t="shared" si="79"/>
        <v>7.9580786405131222E-16</v>
      </c>
      <c r="I116" s="11">
        <f t="shared" si="96"/>
        <v>5.9383182815508912E-16</v>
      </c>
      <c r="J116" s="11">
        <f t="shared" si="80"/>
        <v>5.9383182815508912E-16</v>
      </c>
      <c r="K116" s="11">
        <f t="shared" si="97"/>
        <v>1.1937117960769686E-15</v>
      </c>
      <c r="L116" s="11">
        <f t="shared" si="81"/>
        <v>3.0209253054636065E-14</v>
      </c>
      <c r="M116" s="11">
        <f>M115</f>
        <v>104.55980318782382</v>
      </c>
      <c r="N116" s="11">
        <f t="shared" si="110"/>
        <v>2.0553616127570211</v>
      </c>
      <c r="O116" s="11">
        <f t="shared" si="111"/>
        <v>102.50444157506679</v>
      </c>
      <c r="P116" s="13">
        <f>O116/E116</f>
        <v>1.9150560545214312</v>
      </c>
      <c r="Q116" s="11">
        <f>(E116-F116)*P116</f>
        <v>58.862743328336954</v>
      </c>
      <c r="R116" s="13">
        <f>Q116*$J$4</f>
        <v>12.773215302249119</v>
      </c>
      <c r="S116" s="11">
        <f t="shared" si="112"/>
        <v>91.786587885574704</v>
      </c>
      <c r="U116" s="8" t="s">
        <v>47</v>
      </c>
      <c r="V116" s="8">
        <f t="shared" si="98"/>
        <v>21</v>
      </c>
      <c r="W116" s="8"/>
      <c r="X116" s="8"/>
      <c r="Y116" s="11">
        <f t="shared" si="100"/>
        <v>0</v>
      </c>
      <c r="Z116" s="11">
        <f t="shared" si="114"/>
        <v>0</v>
      </c>
      <c r="AA116" s="11">
        <f t="shared" si="115"/>
        <v>0</v>
      </c>
      <c r="AB116" s="12">
        <f t="shared" si="116"/>
        <v>53.525556775768869</v>
      </c>
      <c r="AC116" s="12"/>
      <c r="AD116" s="13">
        <f t="shared" si="104"/>
        <v>0</v>
      </c>
      <c r="AE116" s="11">
        <f t="shared" si="105"/>
        <v>0</v>
      </c>
      <c r="AF116" s="11"/>
      <c r="AG116" s="11">
        <f t="shared" si="109"/>
        <v>0</v>
      </c>
      <c r="AH116" s="11">
        <f t="shared" si="78"/>
        <v>0</v>
      </c>
      <c r="AI116" s="11">
        <f t="shared" si="90"/>
        <v>0</v>
      </c>
      <c r="AJ116" s="11">
        <f>AJ115</f>
        <v>47378.096381135714</v>
      </c>
      <c r="AK116" s="11">
        <f>AJ116*(Z115/(Y115+AE115+AH115))</f>
        <v>11261.405833363175</v>
      </c>
      <c r="AL116" s="11">
        <f>AJ116*(AA115+AE115+AH115)/(Y115+AE115+AH115)</f>
        <v>36116.690547772538</v>
      </c>
      <c r="AM116" s="11">
        <f t="shared" si="117"/>
        <v>1239.8006529642992</v>
      </c>
      <c r="AN116" s="11">
        <f t="shared" si="118"/>
        <v>34876.889894808235</v>
      </c>
      <c r="AO116" s="8"/>
      <c r="AP116" s="8"/>
      <c r="AQ116" s="13">
        <f>AN116/AB116+AK116/AB116</f>
        <v>861.98628295368439</v>
      </c>
      <c r="AR116" s="8"/>
      <c r="AS116" s="11">
        <f>IF((AL116-$AF$6)&lt;0,0,(AL116-$AF$6)*$AF$5)</f>
        <v>3909.5586141731324</v>
      </c>
      <c r="AT116" s="11">
        <f t="shared" si="120"/>
        <v>43468.537766962581</v>
      </c>
    </row>
    <row r="117" spans="1:48" x14ac:dyDescent="0.25">
      <c r="A117" s="1" t="s">
        <v>56</v>
      </c>
      <c r="B117" s="3"/>
      <c r="C117" s="3">
        <f>SUM(C95:C116)</f>
        <v>2500</v>
      </c>
      <c r="D117" s="3"/>
      <c r="E117" s="3"/>
      <c r="F117" s="3"/>
      <c r="G117" s="3"/>
      <c r="H117" s="3">
        <f>SUM(H95:H116)</f>
        <v>195.81420131552264</v>
      </c>
      <c r="I117" s="3">
        <f>SUM(I95:I116)</f>
        <v>146.11655702164299</v>
      </c>
      <c r="J117" s="3"/>
      <c r="K117" s="3">
        <f>SUM(K95:K116)</f>
        <v>293.72130197328397</v>
      </c>
      <c r="L117" s="3"/>
      <c r="M117" s="3"/>
      <c r="N117" s="3"/>
      <c r="O117" s="3"/>
      <c r="P117" s="5"/>
      <c r="Q117" s="3"/>
      <c r="R117" s="3">
        <f>SUM(R95:R116)</f>
        <v>68.951439804400536</v>
      </c>
      <c r="S117" s="3">
        <f>SUM(S95:S116)</f>
        <v>2870.8864191905268</v>
      </c>
      <c r="U117" s="1" t="s">
        <v>56</v>
      </c>
      <c r="W117" s="3">
        <f>SUM(W95:W116)</f>
        <v>50000</v>
      </c>
      <c r="X117" s="3">
        <f>SUM(X95:X116)</f>
        <v>1000</v>
      </c>
      <c r="Y117" s="3"/>
      <c r="Z117" s="3"/>
      <c r="AA117" s="3"/>
      <c r="AB117" s="6"/>
      <c r="AC117" s="6"/>
      <c r="AD117" s="5"/>
      <c r="AE117" s="3">
        <f>SUM(AE95:AE116)</f>
        <v>55404.954209817108</v>
      </c>
      <c r="AF117" s="3"/>
      <c r="AG117" s="3"/>
      <c r="AH117" s="3">
        <f>SUM(AH95:AH116)</f>
        <v>83107.431314725676</v>
      </c>
      <c r="AI117" s="3"/>
      <c r="AJ117" s="3"/>
      <c r="AS117" s="3">
        <f>SUM(AS95:AS116)</f>
        <v>14644.881935049794</v>
      </c>
      <c r="AT117" s="3">
        <f>SUM(AT95:AT116)</f>
        <v>174867.50358949305</v>
      </c>
      <c r="AV117" s="3"/>
    </row>
    <row r="118" spans="1:48" x14ac:dyDescent="0.25">
      <c r="A118" s="1" t="s">
        <v>62</v>
      </c>
      <c r="C118" s="3">
        <f>SUM(C95:C112)</f>
        <v>2500</v>
      </c>
      <c r="D118" s="3"/>
      <c r="G118" s="5"/>
      <c r="H118" s="3">
        <f>SUM(H95:H112)</f>
        <v>179.92987233171343</v>
      </c>
      <c r="I118" s="3">
        <f>SUM(I95:I112)</f>
        <v>134.26367073392456</v>
      </c>
      <c r="K118" s="3">
        <f>SUM(K95:K112)</f>
        <v>269.89480849757018</v>
      </c>
      <c r="R118" s="3">
        <f>SUM(R95:R112)</f>
        <v>21.598646243631936</v>
      </c>
      <c r="S118" s="3">
        <f>SUM(S95:S112)</f>
        <v>2500</v>
      </c>
      <c r="U118" s="1" t="s">
        <v>62</v>
      </c>
      <c r="W118" s="3">
        <f>SUM(W95:W112)</f>
        <v>50000</v>
      </c>
      <c r="X118" s="3">
        <f>SUM(X95:X112)</f>
        <v>1000</v>
      </c>
      <c r="Y118" s="3"/>
      <c r="Z118" s="3"/>
      <c r="AA118" s="3"/>
      <c r="AB118" s="6"/>
      <c r="AC118" s="6"/>
      <c r="AD118" s="5"/>
      <c r="AE118" s="3">
        <f>SUM(AE95:AE112)</f>
        <v>48285.277947222668</v>
      </c>
      <c r="AF118" s="3"/>
      <c r="AG118" s="3"/>
      <c r="AH118" s="3">
        <f>SUM(AH95:AH112)</f>
        <v>72427.916920834003</v>
      </c>
      <c r="AI118" s="3"/>
      <c r="AJ118" s="3"/>
      <c r="AS118" s="3">
        <f>SUM(AS95:AS112)</f>
        <v>0</v>
      </c>
      <c r="AT118" s="3">
        <f>SUM(AT95:AT112)</f>
        <v>0</v>
      </c>
      <c r="AV118" s="3"/>
    </row>
    <row r="119" spans="1:48" x14ac:dyDescent="0.25">
      <c r="A119" s="1" t="s">
        <v>47</v>
      </c>
      <c r="C119" s="3">
        <f>SUM(C113:C116)</f>
        <v>0</v>
      </c>
      <c r="D119" s="3"/>
      <c r="G119" s="5"/>
      <c r="H119" s="3">
        <f>SUM(H113:H116)</f>
        <v>15.88432898380921</v>
      </c>
      <c r="I119" s="3">
        <f>SUM(I113:I116)</f>
        <v>11.852886287718432</v>
      </c>
      <c r="K119" s="3">
        <f>SUM(K113:K116)</f>
        <v>23.826493475713821</v>
      </c>
      <c r="R119" s="3">
        <f>SUM(R113:R116)</f>
        <v>47.35279356076861</v>
      </c>
      <c r="S119" s="3">
        <f>SUM(S113:S116)</f>
        <v>370.88641919052668</v>
      </c>
      <c r="U119" s="1" t="s">
        <v>47</v>
      </c>
      <c r="W119" s="3">
        <f>SUM(W113:W116)</f>
        <v>0</v>
      </c>
      <c r="X119" s="3">
        <f>SUM(X113:X116)</f>
        <v>0</v>
      </c>
      <c r="AD119" s="5"/>
      <c r="AE119" s="3">
        <f>SUM(AE113:AE116)</f>
        <v>7119.6762625944411</v>
      </c>
      <c r="AH119" s="3">
        <f>SUM(AH113:AH116)</f>
        <v>10679.514393891666</v>
      </c>
      <c r="AS119" s="3">
        <f>SUM(AS113:AS116)</f>
        <v>14644.881935049794</v>
      </c>
      <c r="AT119" s="3">
        <f>SUM(AT113:AT116)</f>
        <v>174867.50358949305</v>
      </c>
      <c r="AV119" s="3">
        <f>AT119+S119</f>
        <v>175238.39000868358</v>
      </c>
    </row>
    <row r="120" spans="1:48" x14ac:dyDescent="0.25">
      <c r="AT120" s="3"/>
    </row>
    <row r="122" spans="1:48" ht="81.75" customHeight="1" x14ac:dyDescent="0.25">
      <c r="A122" s="19" t="s">
        <v>37</v>
      </c>
      <c r="C122" s="10" t="s">
        <v>23</v>
      </c>
      <c r="D122" s="10" t="s">
        <v>22</v>
      </c>
      <c r="E122" s="10" t="s">
        <v>29</v>
      </c>
      <c r="F122" s="10" t="s">
        <v>9</v>
      </c>
      <c r="G122" s="10" t="s">
        <v>11</v>
      </c>
      <c r="H122" s="10" t="s">
        <v>4</v>
      </c>
      <c r="I122" s="10" t="s">
        <v>6</v>
      </c>
      <c r="J122" s="10" t="s">
        <v>32</v>
      </c>
      <c r="K122" s="10" t="s">
        <v>5</v>
      </c>
      <c r="L122" s="10" t="s">
        <v>46</v>
      </c>
      <c r="M122" s="10" t="s">
        <v>19</v>
      </c>
      <c r="N122" s="10" t="s">
        <v>30</v>
      </c>
      <c r="O122" s="10" t="s">
        <v>18</v>
      </c>
      <c r="P122" s="10" t="s">
        <v>17</v>
      </c>
      <c r="Q122" s="10" t="s">
        <v>14</v>
      </c>
      <c r="R122" s="10" t="s">
        <v>54</v>
      </c>
      <c r="S122" s="10" t="s">
        <v>20</v>
      </c>
    </row>
    <row r="123" spans="1:48" x14ac:dyDescent="0.25">
      <c r="B123" s="1">
        <v>0</v>
      </c>
      <c r="C123" s="3">
        <v>2500</v>
      </c>
      <c r="D123" s="3">
        <f>C123</f>
        <v>2500</v>
      </c>
      <c r="E123" s="6">
        <v>22.56</v>
      </c>
      <c r="F123" s="6">
        <v>22.56</v>
      </c>
      <c r="G123" s="5">
        <f>D123/E123</f>
        <v>110.81560283687944</v>
      </c>
      <c r="H123" s="3">
        <f>D123*$E$2</f>
        <v>70</v>
      </c>
      <c r="I123" s="3">
        <f>H123*(1-$J$3)</f>
        <v>52.233999999999995</v>
      </c>
      <c r="J123" s="3">
        <f>I123-N124</f>
        <v>52.233999999999995</v>
      </c>
      <c r="K123" s="3">
        <f>D123*$E$3</f>
        <v>105.00000000000003</v>
      </c>
      <c r="L123" s="3">
        <f>D123+I123+K123</f>
        <v>2657.2339999999999</v>
      </c>
      <c r="M123" s="3"/>
    </row>
    <row r="124" spans="1:48" x14ac:dyDescent="0.25">
      <c r="B124" s="1">
        <f>B123+1</f>
        <v>1</v>
      </c>
      <c r="C124" s="3">
        <v>2500</v>
      </c>
      <c r="D124" s="3">
        <f>D123+I123+K123-N124-O124+C124</f>
        <v>5157.2340000000004</v>
      </c>
      <c r="E124" s="6">
        <f>E123*(1+$E$3)</f>
        <v>23.50752</v>
      </c>
      <c r="F124" s="6">
        <f>(F123*G123+J123+C124)/G124</f>
        <v>23.028912746576943</v>
      </c>
      <c r="G124" s="5">
        <f>G123+(J123+C124)/E124</f>
        <v>219.38656225752442</v>
      </c>
      <c r="H124" s="3">
        <f t="shared" ref="H124:H144" si="121">D124*$E$2</f>
        <v>144.40255200000001</v>
      </c>
      <c r="I124" s="3">
        <f>H124*(1-$J$3)</f>
        <v>107.7531843024</v>
      </c>
      <c r="J124" s="3">
        <f t="shared" ref="J124:J144" si="122">I124-N125</f>
        <v>107.7531843024</v>
      </c>
      <c r="K124" s="3">
        <f>D124*$E$3</f>
        <v>216.60382800000008</v>
      </c>
      <c r="L124" s="3">
        <f t="shared" ref="L124:L144" si="123">D124+I124+K124</f>
        <v>5481.5910123024005</v>
      </c>
    </row>
    <row r="125" spans="1:48" x14ac:dyDescent="0.25">
      <c r="B125" s="1">
        <f t="shared" ref="B125:B144" si="124">B124+1</f>
        <v>2</v>
      </c>
      <c r="C125" s="3">
        <v>2500</v>
      </c>
      <c r="D125" s="3">
        <f t="shared" ref="D125:D144" si="125">D124+I124+K124-N125-O125+C125</f>
        <v>7981.5910123024005</v>
      </c>
      <c r="E125" s="6">
        <f t="shared" ref="E125:E144" si="126">E124*(1+$E$3)</f>
        <v>24.49483584</v>
      </c>
      <c r="F125" s="6">
        <f t="shared" ref="F125:F144" si="127">(F124*G124+J124+C125)/G125</f>
        <v>23.507860566494578</v>
      </c>
      <c r="G125" s="5">
        <f t="shared" ref="G125:G144" si="128">G124+(J124+C125)/E125</f>
        <v>325.84790787895315</v>
      </c>
      <c r="H125" s="3">
        <f t="shared" si="121"/>
        <v>223.48454834446721</v>
      </c>
      <c r="I125" s="3">
        <f>H125*(1-$J$3)</f>
        <v>166.76416997464142</v>
      </c>
      <c r="J125" s="3">
        <f t="shared" si="122"/>
        <v>166.76416997464142</v>
      </c>
      <c r="K125" s="3">
        <f t="shared" ref="K125:K144" si="129">D125*$E$3</f>
        <v>335.22682251670091</v>
      </c>
      <c r="L125" s="3">
        <f t="shared" si="123"/>
        <v>8483.5820047937432</v>
      </c>
    </row>
    <row r="126" spans="1:48" x14ac:dyDescent="0.25">
      <c r="B126" s="1">
        <f t="shared" si="124"/>
        <v>3</v>
      </c>
      <c r="C126" s="3">
        <v>2500</v>
      </c>
      <c r="D126" s="3">
        <f>D125+I125+K125-N126-O126+C126</f>
        <v>10983.582004793743</v>
      </c>
      <c r="E126" s="6">
        <f t="shared" si="126"/>
        <v>25.523618945280003</v>
      </c>
      <c r="F126" s="6">
        <f t="shared" si="127"/>
        <v>23.997277608906156</v>
      </c>
      <c r="G126" s="5">
        <f t="shared" si="128"/>
        <v>430.33012004846984</v>
      </c>
      <c r="H126" s="3">
        <f t="shared" si="121"/>
        <v>307.54029613422483</v>
      </c>
      <c r="I126" s="3">
        <f t="shared" ref="I126:I144" si="130">H126*(1-$J$3)</f>
        <v>229.48656897535855</v>
      </c>
      <c r="J126" s="3">
        <f t="shared" si="122"/>
        <v>229.48656897535855</v>
      </c>
      <c r="K126" s="3">
        <f t="shared" si="129"/>
        <v>461.3104442013373</v>
      </c>
      <c r="L126" s="3">
        <f t="shared" si="123"/>
        <v>11674.379017970439</v>
      </c>
    </row>
    <row r="127" spans="1:48" x14ac:dyDescent="0.25">
      <c r="B127" s="1">
        <f t="shared" si="124"/>
        <v>4</v>
      </c>
      <c r="C127" s="3">
        <v>2500</v>
      </c>
      <c r="D127" s="3">
        <f t="shared" si="125"/>
        <v>14174.379017970439</v>
      </c>
      <c r="E127" s="6">
        <f t="shared" si="126"/>
        <v>26.595610940981764</v>
      </c>
      <c r="F127" s="6">
        <f>(F126*G126+J126+C127)/G127</f>
        <v>24.497625167175194</v>
      </c>
      <c r="G127" s="5">
        <f>G126+(J126+C127)/E127</f>
        <v>532.95933112515286</v>
      </c>
      <c r="H127" s="3">
        <f t="shared" si="121"/>
        <v>396.88261250317231</v>
      </c>
      <c r="I127" s="3">
        <f t="shared" si="130"/>
        <v>296.15380544986715</v>
      </c>
      <c r="J127" s="3">
        <f t="shared" si="122"/>
        <v>296.15380544986715</v>
      </c>
      <c r="K127" s="3">
        <f t="shared" si="129"/>
        <v>595.32391875475855</v>
      </c>
      <c r="L127" s="3">
        <f t="shared" si="123"/>
        <v>15065.856742175065</v>
      </c>
    </row>
    <row r="128" spans="1:48" x14ac:dyDescent="0.25">
      <c r="B128" s="1">
        <f t="shared" si="124"/>
        <v>5</v>
      </c>
      <c r="C128" s="3">
        <v>2500</v>
      </c>
      <c r="D128" s="3">
        <f t="shared" si="125"/>
        <v>17565.856742175063</v>
      </c>
      <c r="E128" s="6">
        <f t="shared" si="126"/>
        <v>27.712626600503</v>
      </c>
      <c r="F128" s="6">
        <f t="shared" si="127"/>
        <v>25.00939288931211</v>
      </c>
      <c r="G128" s="5">
        <f t="shared" si="128"/>
        <v>633.85751900746334</v>
      </c>
      <c r="H128" s="3">
        <f t="shared" si="121"/>
        <v>491.84398878090178</v>
      </c>
      <c r="I128" s="3">
        <f t="shared" si="130"/>
        <v>367.0139844283089</v>
      </c>
      <c r="J128" s="3">
        <f t="shared" si="122"/>
        <v>367.0139844283089</v>
      </c>
      <c r="K128" s="3">
        <f t="shared" si="129"/>
        <v>737.76598317135279</v>
      </c>
      <c r="L128" s="3">
        <f t="shared" si="123"/>
        <v>18670.636709774724</v>
      </c>
    </row>
    <row r="129" spans="1:19" x14ac:dyDescent="0.25">
      <c r="B129" s="1">
        <f t="shared" si="124"/>
        <v>6</v>
      </c>
      <c r="C129" s="3">
        <v>2500</v>
      </c>
      <c r="D129" s="3">
        <f t="shared" si="125"/>
        <v>21170.636709774724</v>
      </c>
      <c r="E129" s="6">
        <f t="shared" si="126"/>
        <v>28.876556917724127</v>
      </c>
      <c r="F129" s="6">
        <f t="shared" si="127"/>
        <v>25.533100017327595</v>
      </c>
      <c r="G129" s="5">
        <f t="shared" si="128"/>
        <v>733.14269322671271</v>
      </c>
      <c r="H129" s="3">
        <f t="shared" si="121"/>
        <v>592.77782787369233</v>
      </c>
      <c r="I129" s="3">
        <f t="shared" si="130"/>
        <v>442.33081515934919</v>
      </c>
      <c r="J129" s="3">
        <f t="shared" si="122"/>
        <v>442.33081515934919</v>
      </c>
      <c r="K129" s="3">
        <f t="shared" si="129"/>
        <v>889.16674181053861</v>
      </c>
      <c r="L129" s="3">
        <f t="shared" si="123"/>
        <v>22502.134266744612</v>
      </c>
    </row>
    <row r="130" spans="1:19" x14ac:dyDescent="0.25">
      <c r="B130" s="1">
        <f t="shared" si="124"/>
        <v>7</v>
      </c>
      <c r="C130" s="3">
        <v>2500</v>
      </c>
      <c r="D130" s="3">
        <f t="shared" si="125"/>
        <v>25002.134266744612</v>
      </c>
      <c r="E130" s="6">
        <f t="shared" si="126"/>
        <v>30.08937230826854</v>
      </c>
      <c r="F130" s="6">
        <f t="shared" si="127"/>
        <v>26.06929665641707</v>
      </c>
      <c r="G130" s="5">
        <f t="shared" si="128"/>
        <v>830.92907391338451</v>
      </c>
      <c r="H130" s="3">
        <f t="shared" si="121"/>
        <v>700.05975946884917</v>
      </c>
      <c r="I130" s="3">
        <f t="shared" si="130"/>
        <v>522.38459251565519</v>
      </c>
      <c r="J130" s="3">
        <f t="shared" si="122"/>
        <v>522.38459251565519</v>
      </c>
      <c r="K130" s="3">
        <f t="shared" si="129"/>
        <v>1050.0896392032739</v>
      </c>
      <c r="L130" s="3">
        <f t="shared" si="123"/>
        <v>26574.608498463542</v>
      </c>
    </row>
    <row r="131" spans="1:19" x14ac:dyDescent="0.25">
      <c r="B131" s="1">
        <f t="shared" si="124"/>
        <v>8</v>
      </c>
      <c r="C131" s="3">
        <v>2500</v>
      </c>
      <c r="D131" s="3">
        <f t="shared" si="125"/>
        <v>29074.608498463542</v>
      </c>
      <c r="E131" s="6">
        <f t="shared" si="126"/>
        <v>31.353125945215819</v>
      </c>
      <c r="F131" s="6">
        <f t="shared" si="127"/>
        <v>26.618565075037125</v>
      </c>
      <c r="G131" s="5">
        <f t="shared" si="128"/>
        <v>927.3272639310801</v>
      </c>
      <c r="H131" s="3">
        <f t="shared" si="121"/>
        <v>814.08903795697915</v>
      </c>
      <c r="I131" s="3">
        <f t="shared" si="130"/>
        <v>607.47324012349782</v>
      </c>
      <c r="J131" s="3">
        <f t="shared" si="122"/>
        <v>607.47324012349782</v>
      </c>
      <c r="K131" s="3">
        <f t="shared" si="129"/>
        <v>1221.133556935469</v>
      </c>
      <c r="L131" s="3">
        <f t="shared" si="123"/>
        <v>30903.21529552251</v>
      </c>
    </row>
    <row r="132" spans="1:19" x14ac:dyDescent="0.25">
      <c r="B132" s="1">
        <f t="shared" si="124"/>
        <v>9</v>
      </c>
      <c r="C132" s="3">
        <v>2500</v>
      </c>
      <c r="D132" s="3">
        <f t="shared" si="125"/>
        <v>33403.21529552251</v>
      </c>
      <c r="E132" s="6">
        <f t="shared" si="126"/>
        <v>32.669957234914882</v>
      </c>
      <c r="F132" s="6">
        <f t="shared" si="127"/>
        <v>27.181521037088896</v>
      </c>
      <c r="G132" s="5">
        <f t="shared" si="128"/>
        <v>1022.4444144611241</v>
      </c>
      <c r="H132" s="3">
        <f t="shared" si="121"/>
        <v>935.29002827463034</v>
      </c>
      <c r="I132" s="3">
        <f t="shared" si="130"/>
        <v>697.91341909852918</v>
      </c>
      <c r="J132" s="3">
        <f t="shared" si="122"/>
        <v>697.91341909852918</v>
      </c>
      <c r="K132" s="3">
        <f t="shared" si="129"/>
        <v>1402.9350424119457</v>
      </c>
      <c r="L132" s="3">
        <f t="shared" si="123"/>
        <v>35504.063757032985</v>
      </c>
    </row>
    <row r="133" spans="1:19" x14ac:dyDescent="0.25">
      <c r="B133" s="1">
        <f t="shared" si="124"/>
        <v>10</v>
      </c>
      <c r="C133" s="3">
        <v>2500</v>
      </c>
      <c r="D133" s="3">
        <f t="shared" si="125"/>
        <v>38004.063757032985</v>
      </c>
      <c r="E133" s="6">
        <f t="shared" si="126"/>
        <v>34.04209543878131</v>
      </c>
      <c r="F133" s="6">
        <f t="shared" si="127"/>
        <v>27.758815167583972</v>
      </c>
      <c r="G133" s="5">
        <f t="shared" si="128"/>
        <v>1116.384384309614</v>
      </c>
      <c r="H133" s="3">
        <f t="shared" si="121"/>
        <v>1064.1137851969236</v>
      </c>
      <c r="I133" s="3">
        <f t="shared" si="130"/>
        <v>794.04170651394429</v>
      </c>
      <c r="J133" s="3">
        <f t="shared" si="122"/>
        <v>794.04170651394429</v>
      </c>
      <c r="K133" s="3">
        <f t="shared" si="129"/>
        <v>1596.1706777953857</v>
      </c>
      <c r="L133" s="3">
        <f t="shared" si="123"/>
        <v>40394.276141342314</v>
      </c>
    </row>
    <row r="134" spans="1:19" x14ac:dyDescent="0.25">
      <c r="B134" s="1">
        <f t="shared" si="124"/>
        <v>11</v>
      </c>
      <c r="C134" s="3">
        <v>2500</v>
      </c>
      <c r="D134" s="3">
        <f t="shared" si="125"/>
        <v>42894.276141342314</v>
      </c>
      <c r="E134" s="6">
        <f t="shared" si="126"/>
        <v>35.471863447210126</v>
      </c>
      <c r="F134" s="6">
        <f t="shared" si="127"/>
        <v>28.351134353335571</v>
      </c>
      <c r="G134" s="5">
        <f t="shared" si="128"/>
        <v>1209.2478931978967</v>
      </c>
      <c r="H134" s="3">
        <f t="shared" si="121"/>
        <v>1201.0397319575848</v>
      </c>
      <c r="I134" s="3">
        <f t="shared" si="130"/>
        <v>896.21584798674974</v>
      </c>
      <c r="J134" s="3">
        <f t="shared" si="122"/>
        <v>896.21584798674974</v>
      </c>
      <c r="K134" s="3">
        <f t="shared" si="129"/>
        <v>1801.5595979363777</v>
      </c>
      <c r="L134" s="3">
        <f t="shared" si="123"/>
        <v>45592.051587265443</v>
      </c>
    </row>
    <row r="135" spans="1:19" x14ac:dyDescent="0.25">
      <c r="B135" s="1">
        <f t="shared" si="124"/>
        <v>12</v>
      </c>
      <c r="C135" s="3">
        <v>2500</v>
      </c>
      <c r="D135" s="3">
        <f t="shared" si="125"/>
        <v>48092.051587265443</v>
      </c>
      <c r="E135" s="6">
        <f t="shared" si="126"/>
        <v>36.961681711992952</v>
      </c>
      <c r="F135" s="6">
        <f t="shared" si="127"/>
        <v>28.959203180390066</v>
      </c>
      <c r="G135" s="5">
        <f t="shared" si="128"/>
        <v>1301.1326692870966</v>
      </c>
      <c r="H135" s="3">
        <f t="shared" si="121"/>
        <v>1346.5774444434323</v>
      </c>
      <c r="I135" s="3">
        <f t="shared" si="130"/>
        <v>1004.8160890436892</v>
      </c>
      <c r="J135" s="3">
        <f t="shared" si="122"/>
        <v>1004.8160890436892</v>
      </c>
      <c r="K135" s="3">
        <f t="shared" si="129"/>
        <v>2019.866166665149</v>
      </c>
      <c r="L135" s="3">
        <f t="shared" si="123"/>
        <v>51116.733842974281</v>
      </c>
    </row>
    <row r="136" spans="1:19" x14ac:dyDescent="0.25">
      <c r="B136" s="1">
        <f t="shared" si="124"/>
        <v>13</v>
      </c>
      <c r="C136" s="3">
        <v>2500</v>
      </c>
      <c r="D136" s="3">
        <f t="shared" si="125"/>
        <v>53616.733842974281</v>
      </c>
      <c r="E136" s="6">
        <f t="shared" si="126"/>
        <v>38.514072343896657</v>
      </c>
      <c r="F136" s="6">
        <f t="shared" si="127"/>
        <v>29.583785410091728</v>
      </c>
      <c r="G136" s="5">
        <f t="shared" si="128"/>
        <v>1392.1335911773806</v>
      </c>
      <c r="H136" s="3">
        <f t="shared" si="121"/>
        <v>1501.26854760328</v>
      </c>
      <c r="I136" s="3">
        <f t="shared" si="130"/>
        <v>1120.2465902215674</v>
      </c>
      <c r="J136" s="3">
        <f t="shared" si="122"/>
        <v>1120.2465902215674</v>
      </c>
      <c r="K136" s="3">
        <f t="shared" si="129"/>
        <v>2251.9028214049204</v>
      </c>
      <c r="L136" s="3">
        <f t="shared" si="123"/>
        <v>56988.883254600769</v>
      </c>
    </row>
    <row r="137" spans="1:19" x14ac:dyDescent="0.25">
      <c r="B137" s="1">
        <f t="shared" si="124"/>
        <v>14</v>
      </c>
      <c r="C137" s="3">
        <v>2500</v>
      </c>
      <c r="D137" s="3">
        <f t="shared" si="125"/>
        <v>59488.883254600769</v>
      </c>
      <c r="E137" s="6">
        <f t="shared" si="126"/>
        <v>40.131663382340321</v>
      </c>
      <c r="F137" s="6">
        <f t="shared" si="127"/>
        <v>30.225685495855281</v>
      </c>
      <c r="G137" s="5">
        <f t="shared" si="128"/>
        <v>1482.342824613108</v>
      </c>
      <c r="H137" s="3">
        <f t="shared" si="121"/>
        <v>1665.6887311288215</v>
      </c>
      <c r="I137" s="3">
        <f t="shared" si="130"/>
        <v>1242.9369311683265</v>
      </c>
      <c r="J137" s="3">
        <f t="shared" si="122"/>
        <v>1242.9369311683265</v>
      </c>
      <c r="K137" s="3">
        <f t="shared" si="129"/>
        <v>2498.5330966932329</v>
      </c>
      <c r="L137" s="3">
        <f t="shared" si="123"/>
        <v>63230.353282462325</v>
      </c>
    </row>
    <row r="138" spans="1:19" x14ac:dyDescent="0.25">
      <c r="B138" s="1">
        <f t="shared" si="124"/>
        <v>15</v>
      </c>
      <c r="C138" s="3">
        <v>2500</v>
      </c>
      <c r="D138" s="3">
        <f t="shared" si="125"/>
        <v>65730.353282462325</v>
      </c>
      <c r="E138" s="6">
        <f t="shared" si="126"/>
        <v>41.817193244398617</v>
      </c>
      <c r="F138" s="6">
        <f>(F137*G137+J137+C138)/G138</f>
        <v>30.885750142906595</v>
      </c>
      <c r="G138" s="5">
        <f t="shared" si="128"/>
        <v>1571.8499541158678</v>
      </c>
      <c r="H138" s="3">
        <f t="shared" si="121"/>
        <v>1840.4498919089451</v>
      </c>
      <c r="I138" s="3">
        <f t="shared" si="130"/>
        <v>1373.3437093424548</v>
      </c>
      <c r="J138" s="3">
        <f t="shared" si="122"/>
        <v>1373.3437093424548</v>
      </c>
      <c r="K138" s="3">
        <f t="shared" si="129"/>
        <v>2760.6748378634184</v>
      </c>
      <c r="L138" s="3">
        <f t="shared" si="123"/>
        <v>69864.371829668205</v>
      </c>
    </row>
    <row r="139" spans="1:19" x14ac:dyDescent="0.25">
      <c r="B139" s="1">
        <f t="shared" si="124"/>
        <v>16</v>
      </c>
      <c r="C139" s="3">
        <v>2500</v>
      </c>
      <c r="D139" s="3">
        <f t="shared" si="125"/>
        <v>72364.371829668205</v>
      </c>
      <c r="E139" s="6">
        <f t="shared" si="126"/>
        <v>43.573515360663357</v>
      </c>
      <c r="F139" s="6">
        <f t="shared" si="127"/>
        <v>31.564869913440749</v>
      </c>
      <c r="G139" s="5">
        <f t="shared" si="128"/>
        <v>1660.7421097586318</v>
      </c>
      <c r="H139" s="3">
        <f t="shared" si="121"/>
        <v>2026.2024112307097</v>
      </c>
      <c r="I139" s="3">
        <f t="shared" si="130"/>
        <v>1511.9522392603556</v>
      </c>
      <c r="J139" s="3">
        <f t="shared" si="122"/>
        <v>1511.9522392603556</v>
      </c>
      <c r="K139" s="3">
        <f t="shared" si="129"/>
        <v>3039.3036168460653</v>
      </c>
      <c r="L139" s="3">
        <f t="shared" si="123"/>
        <v>76915.627685774627</v>
      </c>
    </row>
    <row r="140" spans="1:19" x14ac:dyDescent="0.25">
      <c r="B140" s="1">
        <f t="shared" si="124"/>
        <v>17</v>
      </c>
      <c r="C140" s="3">
        <v>2500</v>
      </c>
      <c r="D140" s="3">
        <f t="shared" si="125"/>
        <v>79415.627685774627</v>
      </c>
      <c r="E140" s="6">
        <f t="shared" si="126"/>
        <v>45.40360300581122</v>
      </c>
      <c r="F140" s="6">
        <f t="shared" si="127"/>
        <v>32.263980879838194</v>
      </c>
      <c r="G140" s="5">
        <f t="shared" si="128"/>
        <v>1749.1040892858264</v>
      </c>
      <c r="H140" s="3">
        <f t="shared" si="121"/>
        <v>2223.6375752016897</v>
      </c>
      <c r="I140" s="3">
        <f t="shared" si="130"/>
        <v>1659.2783586155008</v>
      </c>
      <c r="J140" s="3">
        <f t="shared" si="122"/>
        <v>0</v>
      </c>
      <c r="K140" s="3">
        <f t="shared" si="129"/>
        <v>3335.4563628025353</v>
      </c>
      <c r="L140" s="3">
        <f t="shared" si="123"/>
        <v>84410.362407192661</v>
      </c>
    </row>
    <row r="141" spans="1:19" x14ac:dyDescent="0.25">
      <c r="A141" s="20" t="s">
        <v>47</v>
      </c>
      <c r="B141" s="8">
        <f t="shared" si="124"/>
        <v>18</v>
      </c>
      <c r="C141" s="11">
        <v>2500</v>
      </c>
      <c r="D141" s="11">
        <f t="shared" si="125"/>
        <v>62513.492832735603</v>
      </c>
      <c r="E141" s="12">
        <f t="shared" si="126"/>
        <v>47.310554332055297</v>
      </c>
      <c r="F141" s="12">
        <f t="shared" si="127"/>
        <v>32.705223757279008</v>
      </c>
      <c r="G141" s="13">
        <f t="shared" si="128"/>
        <v>1801.9464208817199</v>
      </c>
      <c r="H141" s="11">
        <f t="shared" si="121"/>
        <v>1750.377799316597</v>
      </c>
      <c r="I141" s="11">
        <f t="shared" si="130"/>
        <v>1306.1319138500446</v>
      </c>
      <c r="J141" s="11">
        <f t="shared" si="122"/>
        <v>0</v>
      </c>
      <c r="K141" s="11">
        <f t="shared" si="129"/>
        <v>2625.5666989748961</v>
      </c>
      <c r="L141" s="11">
        <f t="shared" si="123"/>
        <v>66445.191445560544</v>
      </c>
      <c r="M141" s="17">
        <v>24396.869574457061</v>
      </c>
      <c r="N141" s="11">
        <f>MIN(M141,I140)</f>
        <v>1659.2783586155008</v>
      </c>
      <c r="O141" s="11">
        <f>M141-N141</f>
        <v>22737.591215841559</v>
      </c>
      <c r="P141" s="13">
        <f>O141/E141</f>
        <v>480.60293388774966</v>
      </c>
      <c r="Q141" s="11">
        <f>(E141-F141)*P141</f>
        <v>7019.3647246379378</v>
      </c>
      <c r="R141" s="11">
        <f>Q141*$J$4</f>
        <v>1523.2021452464326</v>
      </c>
      <c r="S141" s="11">
        <f>M141-R141</f>
        <v>22873.667429210629</v>
      </c>
    </row>
    <row r="142" spans="1:19" x14ac:dyDescent="0.25">
      <c r="A142" s="8" t="s">
        <v>47</v>
      </c>
      <c r="B142" s="8">
        <f t="shared" si="124"/>
        <v>19</v>
      </c>
      <c r="C142" s="11">
        <v>2500</v>
      </c>
      <c r="D142" s="11">
        <f t="shared" si="125"/>
        <v>44548.321871103479</v>
      </c>
      <c r="E142" s="12">
        <f t="shared" si="126"/>
        <v>49.297597614001624</v>
      </c>
      <c r="F142" s="12">
        <f t="shared" si="127"/>
        <v>33.159403046898497</v>
      </c>
      <c r="G142" s="13">
        <f t="shared" si="128"/>
        <v>1852.6588312424622</v>
      </c>
      <c r="H142" s="11">
        <f t="shared" si="121"/>
        <v>1247.3530123908974</v>
      </c>
      <c r="I142" s="11">
        <f t="shared" si="130"/>
        <v>930.77481784608767</v>
      </c>
      <c r="J142" s="11">
        <f t="shared" si="122"/>
        <v>0</v>
      </c>
      <c r="K142" s="11">
        <f t="shared" si="129"/>
        <v>1871.0295185863465</v>
      </c>
      <c r="L142" s="11">
        <f t="shared" si="123"/>
        <v>47350.126207535912</v>
      </c>
      <c r="M142" s="11">
        <f>M141</f>
        <v>24396.869574457061</v>
      </c>
      <c r="N142" s="11">
        <f t="shared" ref="N142:N144" si="131">MIN(M142,I141)</f>
        <v>1306.1319138500446</v>
      </c>
      <c r="O142" s="11">
        <f t="shared" ref="O142:O144" si="132">M142-N142</f>
        <v>23090.737660607017</v>
      </c>
      <c r="P142" s="13">
        <f>O142/E142</f>
        <v>468.39478551077974</v>
      </c>
      <c r="Q142" s="11">
        <f>(E142-F142)*P142</f>
        <v>7559.0461827895006</v>
      </c>
      <c r="R142" s="11">
        <f>Q142*$J$4</f>
        <v>1640.3130216653217</v>
      </c>
      <c r="S142" s="11">
        <f t="shared" ref="S142:S144" si="133">M142-R142</f>
        <v>22756.556552791739</v>
      </c>
    </row>
    <row r="143" spans="1:19" x14ac:dyDescent="0.25">
      <c r="A143" s="8" t="s">
        <v>47</v>
      </c>
      <c r="B143" s="8">
        <f t="shared" si="124"/>
        <v>20</v>
      </c>
      <c r="C143" s="8"/>
      <c r="D143" s="11">
        <f t="shared" si="125"/>
        <v>22953.256633078847</v>
      </c>
      <c r="E143" s="12">
        <f t="shared" si="126"/>
        <v>51.368096713789697</v>
      </c>
      <c r="F143" s="12">
        <f t="shared" si="127"/>
        <v>33.159403046898497</v>
      </c>
      <c r="G143" s="13">
        <f t="shared" si="128"/>
        <v>1852.6588312424622</v>
      </c>
      <c r="H143" s="11">
        <f t="shared" si="121"/>
        <v>642.69118572620778</v>
      </c>
      <c r="I143" s="11">
        <f t="shared" si="130"/>
        <v>479.57616278889623</v>
      </c>
      <c r="J143" s="11">
        <f t="shared" si="122"/>
        <v>0</v>
      </c>
      <c r="K143" s="11">
        <f t="shared" si="129"/>
        <v>964.03677858931178</v>
      </c>
      <c r="L143" s="11">
        <f t="shared" si="123"/>
        <v>24396.869574457054</v>
      </c>
      <c r="M143" s="11">
        <f>M142</f>
        <v>24396.869574457061</v>
      </c>
      <c r="N143" s="11">
        <f t="shared" si="131"/>
        <v>930.77481784608767</v>
      </c>
      <c r="O143" s="11">
        <f t="shared" si="132"/>
        <v>23466.094756610975</v>
      </c>
      <c r="P143" s="13">
        <f>O143/E143</f>
        <v>456.82235196211843</v>
      </c>
      <c r="Q143" s="11">
        <f>(E143-F143)*P143</f>
        <v>8318.1382670669682</v>
      </c>
      <c r="R143" s="11">
        <f>Q143*$J$4</f>
        <v>1805.0360039535321</v>
      </c>
      <c r="S143" s="11">
        <f t="shared" si="133"/>
        <v>22591.833570503528</v>
      </c>
    </row>
    <row r="144" spans="1:19" x14ac:dyDescent="0.25">
      <c r="A144" s="8" t="s">
        <v>47</v>
      </c>
      <c r="B144" s="8">
        <f t="shared" si="124"/>
        <v>21</v>
      </c>
      <c r="C144" s="8"/>
      <c r="D144" s="11">
        <f t="shared" si="125"/>
        <v>-7.2759576141834259E-12</v>
      </c>
      <c r="E144" s="12">
        <f t="shared" si="126"/>
        <v>53.525556775768869</v>
      </c>
      <c r="F144" s="12">
        <f t="shared" si="127"/>
        <v>33.159403046898497</v>
      </c>
      <c r="G144" s="13">
        <f t="shared" si="128"/>
        <v>1852.6588312424622</v>
      </c>
      <c r="H144" s="11">
        <f t="shared" si="121"/>
        <v>-2.0372681319713593E-13</v>
      </c>
      <c r="I144" s="11">
        <f t="shared" si="130"/>
        <v>-1.5202094800770281E-13</v>
      </c>
      <c r="J144" s="11">
        <f t="shared" si="122"/>
        <v>-1.5202094800770281E-13</v>
      </c>
      <c r="K144" s="11">
        <f t="shared" si="129"/>
        <v>-3.0559021979570396E-13</v>
      </c>
      <c r="L144" s="11">
        <f t="shared" si="123"/>
        <v>-7.7335687819868326E-12</v>
      </c>
      <c r="M144" s="11">
        <f>M143</f>
        <v>24396.869574457061</v>
      </c>
      <c r="N144" s="11">
        <f t="shared" si="131"/>
        <v>479.57616278889623</v>
      </c>
      <c r="O144" s="11">
        <f t="shared" si="132"/>
        <v>23917.293411668164</v>
      </c>
      <c r="P144" s="13">
        <f>O144/E144</f>
        <v>446.83875988181353</v>
      </c>
      <c r="Q144" s="11">
        <f>(E144-F144)*P144</f>
        <v>9100.3868757708096</v>
      </c>
      <c r="R144" s="11">
        <f>Q144*$J$4</f>
        <v>1974.7839520422656</v>
      </c>
      <c r="S144" s="11">
        <f t="shared" si="133"/>
        <v>22422.085622414797</v>
      </c>
    </row>
    <row r="145" spans="1:48" x14ac:dyDescent="0.25">
      <c r="A145" s="1" t="s">
        <v>56</v>
      </c>
      <c r="B145" s="3"/>
      <c r="C145" s="3">
        <f>SUM(C123:C144)</f>
        <v>50000</v>
      </c>
      <c r="D145" s="3"/>
      <c r="E145" s="3"/>
      <c r="F145" s="3"/>
      <c r="G145" s="3"/>
      <c r="H145" s="3">
        <f>SUM(H123:H144)</f>
        <v>21185.770767442005</v>
      </c>
      <c r="I145" s="3">
        <f>SUM(I123:I144)</f>
        <v>15808.822146665223</v>
      </c>
      <c r="J145" s="3"/>
      <c r="K145" s="3">
        <f>SUM(K123:K144)</f>
        <v>31778.656151163017</v>
      </c>
      <c r="L145" s="3"/>
      <c r="M145" s="3"/>
      <c r="N145" s="3"/>
      <c r="O145" s="3"/>
      <c r="P145" s="5"/>
      <c r="Q145" s="3"/>
      <c r="R145" s="3">
        <f>SUM(R123:R144)</f>
        <v>6943.3351229075524</v>
      </c>
      <c r="S145" s="3">
        <f>SUM(S123:S144)</f>
        <v>90644.143174920697</v>
      </c>
      <c r="U145" s="1" t="s">
        <v>56</v>
      </c>
      <c r="W145" s="3">
        <f>SUM(W123:W144)</f>
        <v>0</v>
      </c>
      <c r="X145" s="3">
        <f>SUM(X123:X144)</f>
        <v>0</v>
      </c>
      <c r="Y145" s="3"/>
      <c r="Z145" s="3"/>
      <c r="AA145" s="3"/>
      <c r="AB145" s="6"/>
      <c r="AC145" s="6"/>
      <c r="AD145" s="5"/>
      <c r="AE145" s="3">
        <f>SUM(AE123:AE144)</f>
        <v>0</v>
      </c>
      <c r="AF145" s="3"/>
      <c r="AG145" s="3"/>
      <c r="AH145" s="3">
        <f>SUM(AH123:AH144)</f>
        <v>0</v>
      </c>
      <c r="AI145" s="3"/>
      <c r="AJ145" s="3"/>
      <c r="AS145" s="3">
        <f>SUM(AS123:AS144)</f>
        <v>0</v>
      </c>
      <c r="AT145" s="3">
        <f>SUM(AT123:AT144)</f>
        <v>0</v>
      </c>
      <c r="AV145" s="3"/>
    </row>
    <row r="146" spans="1:48" x14ac:dyDescent="0.25">
      <c r="A146" s="1" t="s">
        <v>62</v>
      </c>
      <c r="C146" s="3">
        <f>SUM(C123:C140)</f>
        <v>45000</v>
      </c>
      <c r="D146" s="3"/>
      <c r="G146" s="5"/>
      <c r="H146" s="3">
        <f>SUM(H123:H140)</f>
        <v>17545.348770008302</v>
      </c>
      <c r="I146" s="3">
        <f>SUM(I123:I140)</f>
        <v>13092.339252180194</v>
      </c>
      <c r="K146" s="3">
        <f>SUM(K123:K140)</f>
        <v>26318.023155012463</v>
      </c>
      <c r="R146" s="3">
        <f>SUM(R123:R140)</f>
        <v>0</v>
      </c>
      <c r="S146" s="3">
        <f>SUM(S123:S140)</f>
        <v>0</v>
      </c>
      <c r="U146" s="1" t="s">
        <v>62</v>
      </c>
      <c r="W146" s="3">
        <f>SUM(W123:W140)</f>
        <v>0</v>
      </c>
      <c r="X146" s="3">
        <f>SUM(X123:X140)</f>
        <v>0</v>
      </c>
      <c r="Y146" s="3"/>
      <c r="Z146" s="3"/>
      <c r="AA146" s="3"/>
      <c r="AB146" s="6"/>
      <c r="AC146" s="6"/>
      <c r="AD146" s="5"/>
      <c r="AE146" s="3">
        <f>SUM(AE123:AE140)</f>
        <v>0</v>
      </c>
      <c r="AF146" s="3"/>
      <c r="AG146" s="3"/>
      <c r="AH146" s="3">
        <f>SUM(AH123:AH140)</f>
        <v>0</v>
      </c>
      <c r="AI146" s="3"/>
      <c r="AJ146" s="3"/>
      <c r="AS146" s="3">
        <f>SUM(AS123:AS140)</f>
        <v>0</v>
      </c>
      <c r="AT146" s="3">
        <f>SUM(AT123:AT140)</f>
        <v>0</v>
      </c>
      <c r="AV146" s="3"/>
    </row>
    <row r="147" spans="1:48" x14ac:dyDescent="0.25">
      <c r="A147" s="1" t="s">
        <v>47</v>
      </c>
      <c r="C147" s="3">
        <f>SUM(C141:C144)</f>
        <v>5000</v>
      </c>
      <c r="D147" s="3"/>
      <c r="G147" s="5"/>
      <c r="H147" s="3">
        <f>SUM(H141:H144)</f>
        <v>3640.421997433702</v>
      </c>
      <c r="I147" s="3">
        <f>SUM(I141:I144)</f>
        <v>2716.4828944850287</v>
      </c>
      <c r="K147" s="3">
        <f>SUM(K141:K144)</f>
        <v>5460.6329961505544</v>
      </c>
      <c r="R147" s="3">
        <f>SUM(R141:R144)</f>
        <v>6943.3351229075524</v>
      </c>
      <c r="S147" s="3">
        <f>SUM(S141:S144)</f>
        <v>90644.143174920697</v>
      </c>
      <c r="U147" s="1" t="s">
        <v>47</v>
      </c>
      <c r="W147" s="3">
        <f>SUM(W141:W144)</f>
        <v>0</v>
      </c>
      <c r="X147" s="3">
        <f>SUM(X141:X144)</f>
        <v>0</v>
      </c>
      <c r="AD147" s="5"/>
      <c r="AE147" s="3">
        <f>SUM(AE141:AE144)</f>
        <v>0</v>
      </c>
      <c r="AH147" s="3">
        <f>SUM(AH141:AH144)</f>
        <v>0</v>
      </c>
      <c r="AS147" s="3">
        <f>SUM(AS141:AS144)</f>
        <v>0</v>
      </c>
      <c r="AT147" s="3">
        <f>SUM(AT141:AT144)</f>
        <v>0</v>
      </c>
      <c r="AV147" s="3">
        <f>AT147+S147</f>
        <v>90644.143174920697</v>
      </c>
    </row>
    <row r="148" spans="1:48" x14ac:dyDescent="0.25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5"/>
      <c r="Q148" s="3"/>
      <c r="R148" s="3"/>
      <c r="S148" s="3"/>
      <c r="AV148" s="3"/>
    </row>
    <row r="149" spans="1:48" x14ac:dyDescent="0.25">
      <c r="D149" s="3"/>
      <c r="G149" s="5"/>
    </row>
    <row r="150" spans="1:48" s="7" customFormat="1" ht="45" x14ac:dyDescent="0.25">
      <c r="A150" s="19" t="s">
        <v>38</v>
      </c>
      <c r="G150" s="16"/>
      <c r="W150" s="10" t="s">
        <v>23</v>
      </c>
      <c r="X150" s="10" t="s">
        <v>24</v>
      </c>
      <c r="Y150" s="10" t="s">
        <v>22</v>
      </c>
      <c r="Z150" s="10" t="s">
        <v>25</v>
      </c>
      <c r="AA150" s="10" t="s">
        <v>26</v>
      </c>
      <c r="AB150" s="10" t="s">
        <v>29</v>
      </c>
      <c r="AC150" s="10" t="s">
        <v>9</v>
      </c>
      <c r="AD150" s="10" t="s">
        <v>11</v>
      </c>
      <c r="AE150" s="10" t="s">
        <v>4</v>
      </c>
      <c r="AF150" s="10" t="s">
        <v>6</v>
      </c>
      <c r="AG150" s="10" t="s">
        <v>32</v>
      </c>
      <c r="AH150" s="10" t="s">
        <v>5</v>
      </c>
      <c r="AI150" s="10" t="s">
        <v>46</v>
      </c>
      <c r="AJ150" s="10" t="s">
        <v>19</v>
      </c>
      <c r="AK150" s="10" t="s">
        <v>27</v>
      </c>
      <c r="AL150" s="10" t="s">
        <v>28</v>
      </c>
      <c r="AM150" s="10" t="s">
        <v>30</v>
      </c>
      <c r="AN150" s="10" t="s">
        <v>31</v>
      </c>
      <c r="AO150" s="10" t="s">
        <v>21</v>
      </c>
      <c r="AP150" s="10" t="s">
        <v>18</v>
      </c>
      <c r="AQ150" s="10" t="s">
        <v>17</v>
      </c>
      <c r="AR150" s="10" t="s">
        <v>14</v>
      </c>
      <c r="AS150" s="10" t="s">
        <v>54</v>
      </c>
      <c r="AT150" s="10" t="s">
        <v>20</v>
      </c>
    </row>
    <row r="151" spans="1:48" x14ac:dyDescent="0.25">
      <c r="P151" s="5"/>
      <c r="V151" s="1">
        <v>0</v>
      </c>
      <c r="W151" s="3">
        <v>2500</v>
      </c>
      <c r="X151" s="3">
        <f>MIN(W151*20%,500)</f>
        <v>500</v>
      </c>
      <c r="Y151" s="3">
        <f>W151+X151</f>
        <v>3000</v>
      </c>
      <c r="Z151" s="3">
        <f>W151</f>
        <v>2500</v>
      </c>
      <c r="AA151" s="3">
        <f>Y151-Z151</f>
        <v>500</v>
      </c>
      <c r="AB151" s="6">
        <v>22.56</v>
      </c>
      <c r="AC151" s="6"/>
      <c r="AD151" s="5">
        <f>Y151/AB151</f>
        <v>132.97872340425533</v>
      </c>
      <c r="AE151" s="3">
        <f>Y151*$E$2</f>
        <v>84</v>
      </c>
      <c r="AF151" s="3"/>
      <c r="AG151" s="3">
        <f>AE151-AM152</f>
        <v>84</v>
      </c>
      <c r="AH151" s="3">
        <f t="shared" ref="AH151:AH172" si="134">Y151*$E$3</f>
        <v>126.00000000000003</v>
      </c>
      <c r="AI151" s="3">
        <f>Y151+AE151+AH151</f>
        <v>3210</v>
      </c>
    </row>
    <row r="152" spans="1:48" x14ac:dyDescent="0.25">
      <c r="V152" s="1">
        <f>V151+1</f>
        <v>1</v>
      </c>
      <c r="W152" s="3">
        <v>2500</v>
      </c>
      <c r="X152" s="3">
        <f t="shared" ref="X152:X164" si="135">MIN(W152*20%,500)</f>
        <v>500</v>
      </c>
      <c r="Y152" s="3">
        <f>AB152*AD152</f>
        <v>6209.9999999999991</v>
      </c>
      <c r="Z152" s="3">
        <f>W152+Z151-AK152</f>
        <v>5000</v>
      </c>
      <c r="AA152" s="3">
        <f>Y152-Z152</f>
        <v>1209.9999999999991</v>
      </c>
      <c r="AB152" s="6">
        <f>AB151*(1+$E$3)</f>
        <v>23.50752</v>
      </c>
      <c r="AC152" s="6"/>
      <c r="AD152" s="5">
        <f>AD151+AG151/AB152+W152/AB152+X152/AB152-AK152/AB152-AN152/AB152</f>
        <v>264.17078449789682</v>
      </c>
      <c r="AE152" s="3">
        <f>Y152*$E$2</f>
        <v>173.87999999999997</v>
      </c>
      <c r="AF152" s="3"/>
      <c r="AG152" s="3">
        <f t="shared" ref="AG152:AG159" si="136">AE152-AM153</f>
        <v>173.87999999999997</v>
      </c>
      <c r="AH152" s="3">
        <f t="shared" si="134"/>
        <v>260.82</v>
      </c>
      <c r="AI152" s="3">
        <f t="shared" ref="AI152:AI172" si="137">Y152+AE152+AH152</f>
        <v>6644.6999999999989</v>
      </c>
    </row>
    <row r="153" spans="1:48" x14ac:dyDescent="0.25">
      <c r="V153" s="1">
        <f t="shared" ref="V153:V172" si="138">V152+1</f>
        <v>2</v>
      </c>
      <c r="W153" s="3">
        <v>2500</v>
      </c>
      <c r="X153" s="3">
        <f t="shared" si="135"/>
        <v>500</v>
      </c>
      <c r="Y153" s="3">
        <f t="shared" ref="Y153:Y172" si="139">AB153*AD153</f>
        <v>9644.6999999999989</v>
      </c>
      <c r="Z153" s="3">
        <f t="shared" ref="Z153:Z169" si="140">W153+Z152-AK153</f>
        <v>7500</v>
      </c>
      <c r="AA153" s="3">
        <f t="shared" ref="AA153:AA168" si="141">Y153-Z153</f>
        <v>2144.6999999999989</v>
      </c>
      <c r="AB153" s="6">
        <f t="shared" ref="AB153:AB167" si="142">AB152*(1+$E$3)</f>
        <v>24.49483584</v>
      </c>
      <c r="AC153" s="6"/>
      <c r="AD153" s="5">
        <f t="shared" ref="AD153:AD172" si="143">AD152+AG152/AB153+W153/AB153+X153/AB153-AK153/AB153-AN153/AB153</f>
        <v>393.744218699773</v>
      </c>
      <c r="AE153" s="3">
        <f t="shared" ref="AE153:AE172" si="144">Y153*$E$2</f>
        <v>270.05159999999995</v>
      </c>
      <c r="AF153" s="3"/>
      <c r="AG153" s="3">
        <f t="shared" si="136"/>
        <v>270.05159999999995</v>
      </c>
      <c r="AH153" s="3">
        <f t="shared" si="134"/>
        <v>405.07740000000007</v>
      </c>
      <c r="AI153" s="3">
        <f t="shared" si="137"/>
        <v>10319.829</v>
      </c>
    </row>
    <row r="154" spans="1:48" x14ac:dyDescent="0.25">
      <c r="V154" s="1">
        <f t="shared" si="138"/>
        <v>3</v>
      </c>
      <c r="W154" s="3">
        <v>2500</v>
      </c>
      <c r="X154" s="3">
        <f t="shared" si="135"/>
        <v>500</v>
      </c>
      <c r="Y154" s="3">
        <f t="shared" si="139"/>
        <v>13319.829</v>
      </c>
      <c r="Z154" s="3">
        <f t="shared" si="140"/>
        <v>10000</v>
      </c>
      <c r="AA154" s="3">
        <f t="shared" si="141"/>
        <v>3319.8289999999997</v>
      </c>
      <c r="AB154" s="6">
        <f t="shared" si="142"/>
        <v>25.523618945280003</v>
      </c>
      <c r="AC154" s="6"/>
      <c r="AD154" s="5">
        <f t="shared" si="143"/>
        <v>521.8628686063812</v>
      </c>
      <c r="AE154" s="3">
        <f t="shared" si="144"/>
        <v>372.95521200000002</v>
      </c>
      <c r="AF154" s="3"/>
      <c r="AG154" s="3">
        <f t="shared" si="136"/>
        <v>372.95521200000002</v>
      </c>
      <c r="AH154" s="3">
        <f t="shared" si="134"/>
        <v>559.43281800000011</v>
      </c>
      <c r="AI154" s="3">
        <f t="shared" si="137"/>
        <v>14252.21703</v>
      </c>
    </row>
    <row r="155" spans="1:48" x14ac:dyDescent="0.25">
      <c r="V155" s="1">
        <f t="shared" si="138"/>
        <v>4</v>
      </c>
      <c r="W155" s="3">
        <v>2500</v>
      </c>
      <c r="X155" s="3">
        <f t="shared" si="135"/>
        <v>500</v>
      </c>
      <c r="Y155" s="3">
        <f t="shared" si="139"/>
        <v>17252.217030000003</v>
      </c>
      <c r="Z155" s="3">
        <f t="shared" si="140"/>
        <v>12500</v>
      </c>
      <c r="AA155" s="3">
        <f t="shared" si="141"/>
        <v>4752.2170300000034</v>
      </c>
      <c r="AB155" s="6">
        <f t="shared" si="142"/>
        <v>26.595610940981764</v>
      </c>
      <c r="AC155" s="6"/>
      <c r="AD155" s="5">
        <f t="shared" si="143"/>
        <v>648.68662232592976</v>
      </c>
      <c r="AE155" s="3">
        <f t="shared" si="144"/>
        <v>483.06207684000009</v>
      </c>
      <c r="AF155" s="3"/>
      <c r="AG155" s="3">
        <f t="shared" si="136"/>
        <v>483.06207684000009</v>
      </c>
      <c r="AH155" s="3">
        <f t="shared" si="134"/>
        <v>724.59311526000033</v>
      </c>
      <c r="AI155" s="3">
        <f t="shared" si="137"/>
        <v>18459.872222100003</v>
      </c>
    </row>
    <row r="156" spans="1:48" x14ac:dyDescent="0.25">
      <c r="V156" s="1">
        <f t="shared" si="138"/>
        <v>5</v>
      </c>
      <c r="W156" s="3">
        <v>2500</v>
      </c>
      <c r="X156" s="3">
        <f t="shared" si="135"/>
        <v>500</v>
      </c>
      <c r="Y156" s="3">
        <f t="shared" si="139"/>
        <v>21459.872222100003</v>
      </c>
      <c r="Z156" s="3">
        <f t="shared" si="140"/>
        <v>15000</v>
      </c>
      <c r="AA156" s="3">
        <f t="shared" si="141"/>
        <v>6459.8722221000025</v>
      </c>
      <c r="AB156" s="6">
        <f t="shared" si="142"/>
        <v>27.712626600503</v>
      </c>
      <c r="AC156" s="6"/>
      <c r="AD156" s="5">
        <f t="shared" si="143"/>
        <v>774.37164406893476</v>
      </c>
      <c r="AE156" s="3">
        <f t="shared" si="144"/>
        <v>600.87642221880003</v>
      </c>
      <c r="AF156" s="3"/>
      <c r="AG156" s="3">
        <f t="shared" si="136"/>
        <v>600.87642221880003</v>
      </c>
      <c r="AH156" s="3">
        <f t="shared" si="134"/>
        <v>901.31463332820033</v>
      </c>
      <c r="AI156" s="3">
        <f t="shared" si="137"/>
        <v>22962.063277647005</v>
      </c>
    </row>
    <row r="157" spans="1:48" x14ac:dyDescent="0.25">
      <c r="V157" s="1">
        <f t="shared" si="138"/>
        <v>6</v>
      </c>
      <c r="W157" s="3">
        <v>2500</v>
      </c>
      <c r="X157" s="3">
        <f t="shared" si="135"/>
        <v>500</v>
      </c>
      <c r="Y157" s="3">
        <f t="shared" si="139"/>
        <v>25962.063277647005</v>
      </c>
      <c r="Z157" s="3">
        <f t="shared" si="140"/>
        <v>17500</v>
      </c>
      <c r="AA157" s="3">
        <f t="shared" si="141"/>
        <v>8462.0632776470047</v>
      </c>
      <c r="AB157" s="6">
        <f t="shared" si="142"/>
        <v>28.876556917724127</v>
      </c>
      <c r="AC157" s="6"/>
      <c r="AD157" s="5">
        <f t="shared" si="143"/>
        <v>899.07059735753205</v>
      </c>
      <c r="AE157" s="3">
        <f t="shared" si="144"/>
        <v>726.93777177411619</v>
      </c>
      <c r="AF157" s="3"/>
      <c r="AG157" s="3">
        <f t="shared" si="136"/>
        <v>726.93777177411619</v>
      </c>
      <c r="AH157" s="3">
        <f t="shared" si="134"/>
        <v>1090.4066576611744</v>
      </c>
      <c r="AI157" s="3">
        <f t="shared" si="137"/>
        <v>27779.407707082293</v>
      </c>
    </row>
    <row r="158" spans="1:48" x14ac:dyDescent="0.25">
      <c r="V158" s="1">
        <f t="shared" si="138"/>
        <v>7</v>
      </c>
      <c r="W158" s="3">
        <v>2500</v>
      </c>
      <c r="X158" s="3">
        <f t="shared" si="135"/>
        <v>500</v>
      </c>
      <c r="Y158" s="3">
        <f t="shared" si="139"/>
        <v>30779.407707082297</v>
      </c>
      <c r="Z158" s="3">
        <f t="shared" si="140"/>
        <v>20000</v>
      </c>
      <c r="AA158" s="3">
        <f t="shared" si="141"/>
        <v>10779.407707082297</v>
      </c>
      <c r="AB158" s="6">
        <f t="shared" si="142"/>
        <v>30.08937230826854</v>
      </c>
      <c r="AC158" s="6"/>
      <c r="AD158" s="5">
        <f t="shared" si="143"/>
        <v>1022.9328612024298</v>
      </c>
      <c r="AE158" s="3">
        <f t="shared" si="144"/>
        <v>861.82341579830438</v>
      </c>
      <c r="AF158" s="3"/>
      <c r="AG158" s="3">
        <f t="shared" si="136"/>
        <v>861.82341579830438</v>
      </c>
      <c r="AH158" s="3">
        <f t="shared" si="134"/>
        <v>1292.7351236974569</v>
      </c>
      <c r="AI158" s="3">
        <f t="shared" si="137"/>
        <v>32933.966246578057</v>
      </c>
    </row>
    <row r="159" spans="1:48" x14ac:dyDescent="0.25">
      <c r="V159" s="1">
        <f t="shared" si="138"/>
        <v>8</v>
      </c>
      <c r="W159" s="3">
        <v>2500</v>
      </c>
      <c r="X159" s="3">
        <f t="shared" si="135"/>
        <v>500</v>
      </c>
      <c r="Y159" s="3">
        <f t="shared" si="139"/>
        <v>35933.966246578057</v>
      </c>
      <c r="Z159" s="3">
        <f t="shared" si="140"/>
        <v>22500</v>
      </c>
      <c r="AA159" s="3">
        <f t="shared" si="141"/>
        <v>13433.966246578057</v>
      </c>
      <c r="AB159" s="6">
        <f t="shared" si="142"/>
        <v>31.353125945215819</v>
      </c>
      <c r="AC159" s="6"/>
      <c r="AD159" s="5">
        <f t="shared" si="143"/>
        <v>1146.1047395837488</v>
      </c>
      <c r="AE159" s="3">
        <f t="shared" si="144"/>
        <v>1006.1510549041856</v>
      </c>
      <c r="AF159" s="3"/>
      <c r="AG159" s="3">
        <f t="shared" si="136"/>
        <v>1006.1510549041856</v>
      </c>
      <c r="AH159" s="3">
        <f t="shared" si="134"/>
        <v>1509.2265823562786</v>
      </c>
      <c r="AI159" s="3">
        <f t="shared" si="137"/>
        <v>38449.343883838519</v>
      </c>
    </row>
    <row r="160" spans="1:48" x14ac:dyDescent="0.25">
      <c r="V160" s="1">
        <f t="shared" si="138"/>
        <v>9</v>
      </c>
      <c r="W160" s="3">
        <v>2500</v>
      </c>
      <c r="X160" s="3">
        <f t="shared" si="135"/>
        <v>500</v>
      </c>
      <c r="Y160" s="3">
        <f t="shared" si="139"/>
        <v>41449.343883838519</v>
      </c>
      <c r="Z160" s="3">
        <f t="shared" si="140"/>
        <v>25000</v>
      </c>
      <c r="AA160" s="3">
        <f t="shared" si="141"/>
        <v>16449.343883838519</v>
      </c>
      <c r="AB160" s="6">
        <f t="shared" si="142"/>
        <v>32.669957234914882</v>
      </c>
      <c r="AC160" s="6"/>
      <c r="AD160" s="5">
        <f t="shared" si="143"/>
        <v>1268.7296645598597</v>
      </c>
      <c r="AE160" s="3">
        <f t="shared" si="144"/>
        <v>1160.5816287474786</v>
      </c>
      <c r="AF160" s="3"/>
      <c r="AG160" s="3">
        <f>AE160-AM161</f>
        <v>1160.5816287474786</v>
      </c>
      <c r="AH160" s="3">
        <f t="shared" si="134"/>
        <v>1740.8724431212181</v>
      </c>
      <c r="AI160" s="3">
        <f t="shared" si="137"/>
        <v>44350.797955707218</v>
      </c>
    </row>
    <row r="161" spans="1:48" x14ac:dyDescent="0.25">
      <c r="V161" s="1">
        <f t="shared" si="138"/>
        <v>10</v>
      </c>
      <c r="W161" s="3">
        <v>2500</v>
      </c>
      <c r="X161" s="3">
        <f t="shared" si="135"/>
        <v>500</v>
      </c>
      <c r="Y161" s="3">
        <f t="shared" si="139"/>
        <v>47350.797955707225</v>
      </c>
      <c r="Z161" s="3">
        <f t="shared" si="140"/>
        <v>27500</v>
      </c>
      <c r="AA161" s="3">
        <f t="shared" si="141"/>
        <v>19850.797955707225</v>
      </c>
      <c r="AB161" s="6">
        <f t="shared" si="142"/>
        <v>34.04209543878131</v>
      </c>
      <c r="AC161" s="6"/>
      <c r="AD161" s="5">
        <f t="shared" si="143"/>
        <v>1390.9483933167176</v>
      </c>
      <c r="AE161" s="3">
        <f t="shared" si="144"/>
        <v>1325.8223427598023</v>
      </c>
      <c r="AF161" s="3"/>
      <c r="AG161" s="3">
        <f t="shared" ref="AG161:AG167" si="145">AE161-AM162</f>
        <v>1325.8223427598023</v>
      </c>
      <c r="AH161" s="3">
        <f t="shared" si="134"/>
        <v>1988.7335141397039</v>
      </c>
      <c r="AI161" s="3">
        <f t="shared" si="137"/>
        <v>50665.353812606729</v>
      </c>
    </row>
    <row r="162" spans="1:48" x14ac:dyDescent="0.25">
      <c r="V162" s="1">
        <f t="shared" si="138"/>
        <v>11</v>
      </c>
      <c r="W162" s="3">
        <v>2500</v>
      </c>
      <c r="X162" s="3">
        <f t="shared" si="135"/>
        <v>500</v>
      </c>
      <c r="Y162" s="3">
        <f t="shared" si="139"/>
        <v>53665.353812606729</v>
      </c>
      <c r="Z162" s="3">
        <f t="shared" si="140"/>
        <v>30000</v>
      </c>
      <c r="AA162" s="3">
        <f t="shared" si="141"/>
        <v>23665.353812606729</v>
      </c>
      <c r="AB162" s="6">
        <f t="shared" si="142"/>
        <v>35.471863447210126</v>
      </c>
      <c r="AC162" s="6"/>
      <c r="AD162" s="5">
        <f t="shared" si="143"/>
        <v>1512.8991994591006</v>
      </c>
      <c r="AE162" s="3">
        <f t="shared" si="144"/>
        <v>1502.6299067529885</v>
      </c>
      <c r="AF162" s="3"/>
      <c r="AG162" s="3">
        <f t="shared" si="145"/>
        <v>1502.6299067529885</v>
      </c>
      <c r="AH162" s="3">
        <f t="shared" si="134"/>
        <v>2253.944860129483</v>
      </c>
      <c r="AI162" s="3">
        <f t="shared" si="137"/>
        <v>57421.928579489206</v>
      </c>
    </row>
    <row r="163" spans="1:48" x14ac:dyDescent="0.25">
      <c r="V163" s="1">
        <f t="shared" si="138"/>
        <v>12</v>
      </c>
      <c r="W163" s="3">
        <v>2500</v>
      </c>
      <c r="X163" s="3">
        <f t="shared" si="135"/>
        <v>500</v>
      </c>
      <c r="Y163" s="3">
        <f t="shared" si="139"/>
        <v>60421.928579489213</v>
      </c>
      <c r="Z163" s="3">
        <f t="shared" si="140"/>
        <v>32500</v>
      </c>
      <c r="AA163" s="3">
        <f t="shared" si="141"/>
        <v>27921.928579489213</v>
      </c>
      <c r="AB163" s="6">
        <f t="shared" si="142"/>
        <v>36.961681711992952</v>
      </c>
      <c r="AC163" s="6"/>
      <c r="AD163" s="5">
        <f t="shared" si="143"/>
        <v>1634.7180588345393</v>
      </c>
      <c r="AE163" s="3">
        <f t="shared" si="144"/>
        <v>1691.814000225698</v>
      </c>
      <c r="AF163" s="3"/>
      <c r="AG163" s="3">
        <f t="shared" si="145"/>
        <v>1691.814000225698</v>
      </c>
      <c r="AH163" s="3">
        <f t="shared" si="134"/>
        <v>2537.7210003385476</v>
      </c>
      <c r="AI163" s="3">
        <f t="shared" si="137"/>
        <v>64651.46358005346</v>
      </c>
    </row>
    <row r="164" spans="1:48" x14ac:dyDescent="0.25">
      <c r="V164" s="1">
        <f t="shared" si="138"/>
        <v>13</v>
      </c>
      <c r="W164" s="3">
        <v>2500</v>
      </c>
      <c r="X164" s="3">
        <f t="shared" si="135"/>
        <v>500</v>
      </c>
      <c r="Y164" s="3">
        <f t="shared" si="139"/>
        <v>67651.46358005346</v>
      </c>
      <c r="Z164" s="3">
        <f t="shared" si="140"/>
        <v>35000</v>
      </c>
      <c r="AA164" s="3">
        <f t="shared" si="141"/>
        <v>32651.46358005346</v>
      </c>
      <c r="AB164" s="6">
        <f t="shared" si="142"/>
        <v>38.514072343896657</v>
      </c>
      <c r="AC164" s="6"/>
      <c r="AD164" s="5">
        <f t="shared" si="143"/>
        <v>1756.5388301705834</v>
      </c>
      <c r="AE164" s="3">
        <f t="shared" si="144"/>
        <v>1894.2409802414968</v>
      </c>
      <c r="AF164" s="3"/>
      <c r="AG164" s="3">
        <f t="shared" si="145"/>
        <v>1894.2409802414968</v>
      </c>
      <c r="AH164" s="3">
        <f t="shared" si="134"/>
        <v>2841.3614703622461</v>
      </c>
      <c r="AI164" s="3">
        <f t="shared" si="137"/>
        <v>72387.066030657195</v>
      </c>
    </row>
    <row r="165" spans="1:48" x14ac:dyDescent="0.25">
      <c r="V165" s="1">
        <f t="shared" si="138"/>
        <v>14</v>
      </c>
      <c r="W165" s="3">
        <v>2500</v>
      </c>
      <c r="X165" s="3">
        <v>200</v>
      </c>
      <c r="Y165" s="3">
        <f t="shared" si="139"/>
        <v>75087.06603065721</v>
      </c>
      <c r="Z165" s="3">
        <f t="shared" si="140"/>
        <v>37500</v>
      </c>
      <c r="AA165" s="3">
        <f t="shared" si="141"/>
        <v>37587.06603065721</v>
      </c>
      <c r="AB165" s="6">
        <f t="shared" si="142"/>
        <v>40.131663382340321</v>
      </c>
      <c r="AC165" s="6"/>
      <c r="AD165" s="5">
        <f t="shared" si="143"/>
        <v>1871.0180366881773</v>
      </c>
      <c r="AE165" s="3">
        <f t="shared" si="144"/>
        <v>2102.437848858402</v>
      </c>
      <c r="AF165" s="3"/>
      <c r="AG165" s="3">
        <f t="shared" si="145"/>
        <v>2102.437848858402</v>
      </c>
      <c r="AH165" s="3">
        <f t="shared" si="134"/>
        <v>3153.6567732876038</v>
      </c>
      <c r="AI165" s="3">
        <f t="shared" si="137"/>
        <v>80343.160652803213</v>
      </c>
    </row>
    <row r="166" spans="1:48" x14ac:dyDescent="0.25">
      <c r="V166" s="1">
        <f t="shared" si="138"/>
        <v>15</v>
      </c>
      <c r="W166" s="3">
        <v>2500</v>
      </c>
      <c r="X166" s="3"/>
      <c r="Y166" s="3">
        <f t="shared" si="139"/>
        <v>82843.160652803213</v>
      </c>
      <c r="Z166" s="3">
        <f t="shared" si="140"/>
        <v>40000</v>
      </c>
      <c r="AA166" s="3">
        <f t="shared" si="141"/>
        <v>42843.160652803213</v>
      </c>
      <c r="AB166" s="6">
        <f t="shared" si="142"/>
        <v>41.817193244398617</v>
      </c>
      <c r="AC166" s="6"/>
      <c r="AD166" s="5">
        <f t="shared" si="143"/>
        <v>1981.0789348924081</v>
      </c>
      <c r="AE166" s="3">
        <f t="shared" si="144"/>
        <v>2319.6084982784901</v>
      </c>
      <c r="AF166" s="3"/>
      <c r="AG166" s="3">
        <f t="shared" si="145"/>
        <v>2319.6084982784901</v>
      </c>
      <c r="AH166" s="3">
        <f t="shared" si="134"/>
        <v>3479.4127474177358</v>
      </c>
      <c r="AI166" s="3">
        <f t="shared" si="137"/>
        <v>88642.181898499446</v>
      </c>
    </row>
    <row r="167" spans="1:48" x14ac:dyDescent="0.25">
      <c r="V167" s="1">
        <f t="shared" si="138"/>
        <v>16</v>
      </c>
      <c r="W167" s="3">
        <v>2500</v>
      </c>
      <c r="X167" s="3"/>
      <c r="Y167" s="3">
        <f t="shared" si="139"/>
        <v>91142.181898499446</v>
      </c>
      <c r="Z167" s="3">
        <f t="shared" si="140"/>
        <v>42500</v>
      </c>
      <c r="AA167" s="3">
        <f t="shared" si="141"/>
        <v>48642.181898499446</v>
      </c>
      <c r="AB167" s="6">
        <f t="shared" si="142"/>
        <v>43.573515360663357</v>
      </c>
      <c r="AC167" s="6"/>
      <c r="AD167" s="5">
        <f t="shared" si="143"/>
        <v>2091.6876029878326</v>
      </c>
      <c r="AE167" s="3">
        <f t="shared" si="144"/>
        <v>2551.9810931579846</v>
      </c>
      <c r="AF167" s="3"/>
      <c r="AG167" s="3">
        <f t="shared" si="145"/>
        <v>2551.9810931579846</v>
      </c>
      <c r="AH167" s="3">
        <f t="shared" si="134"/>
        <v>3827.9716397369775</v>
      </c>
      <c r="AI167" s="3">
        <f t="shared" si="137"/>
        <v>97522.134631394409</v>
      </c>
    </row>
    <row r="168" spans="1:48" x14ac:dyDescent="0.25">
      <c r="V168" s="1">
        <f t="shared" si="138"/>
        <v>17</v>
      </c>
      <c r="W168" s="3">
        <v>2500</v>
      </c>
      <c r="X168" s="3"/>
      <c r="Y168" s="3">
        <f t="shared" si="139"/>
        <v>100022.13463139441</v>
      </c>
      <c r="Z168" s="3">
        <f t="shared" si="140"/>
        <v>45000</v>
      </c>
      <c r="AA168" s="3">
        <f t="shared" si="141"/>
        <v>55022.134631394409</v>
      </c>
      <c r="AB168" s="6">
        <f>AB167*(1+$E$3)</f>
        <v>45.40360300581122</v>
      </c>
      <c r="AC168" s="6"/>
      <c r="AD168" s="5">
        <f t="shared" si="143"/>
        <v>2202.9558891745341</v>
      </c>
      <c r="AE168" s="3">
        <f t="shared" si="144"/>
        <v>2800.6197696790437</v>
      </c>
      <c r="AF168" s="3"/>
      <c r="AG168" s="3">
        <f>AE168-AM169</f>
        <v>0</v>
      </c>
      <c r="AH168" s="3">
        <f t="shared" si="134"/>
        <v>4200.9296545185662</v>
      </c>
      <c r="AI168" s="3">
        <f t="shared" si="137"/>
        <v>107023.68405559202</v>
      </c>
    </row>
    <row r="169" spans="1:48" x14ac:dyDescent="0.25">
      <c r="U169" s="20" t="s">
        <v>47</v>
      </c>
      <c r="V169" s="8">
        <f t="shared" si="138"/>
        <v>18</v>
      </c>
      <c r="W169" s="11">
        <v>2500</v>
      </c>
      <c r="X169" s="8"/>
      <c r="Y169" s="11">
        <f t="shared" si="139"/>
        <v>78659.893127079107</v>
      </c>
      <c r="Z169" s="11">
        <f t="shared" si="140"/>
        <v>34522.773472630121</v>
      </c>
      <c r="AA169" s="11">
        <f>Y169-Z169</f>
        <v>44137.119654448987</v>
      </c>
      <c r="AB169" s="12">
        <f>AB168*(1+$E$3)</f>
        <v>47.310554332055297</v>
      </c>
      <c r="AC169" s="12"/>
      <c r="AD169" s="13">
        <f t="shared" si="143"/>
        <v>1662.6288623674623</v>
      </c>
      <c r="AE169" s="11">
        <f t="shared" si="144"/>
        <v>2202.4770075582151</v>
      </c>
      <c r="AF169" s="11"/>
      <c r="AG169" s="11">
        <f t="shared" ref="AG169:AG172" si="146">AE169-AM170</f>
        <v>0</v>
      </c>
      <c r="AH169" s="11">
        <f t="shared" si="134"/>
        <v>3303.7155113373233</v>
      </c>
      <c r="AI169" s="11">
        <f t="shared" si="137"/>
        <v>84166.085645974657</v>
      </c>
      <c r="AJ169" s="17">
        <v>30863.790928512932</v>
      </c>
      <c r="AK169" s="11">
        <f>AJ169*(Z168/(Y168+AE168+AH168))</f>
        <v>12977.226527369881</v>
      </c>
      <c r="AL169" s="11">
        <f>AJ169*(AA168+AE168+AH168)/(Y168+AE168+AH168)</f>
        <v>17886.564401143045</v>
      </c>
      <c r="AM169" s="11">
        <f>MIN(AE168,AL169)</f>
        <v>2800.6197696790437</v>
      </c>
      <c r="AN169" s="11">
        <f>AL169-AM169</f>
        <v>15085.944631464001</v>
      </c>
      <c r="AO169" s="8"/>
      <c r="AP169" s="8"/>
      <c r="AQ169" s="13">
        <f>AN169/AB169+AK169/AB169</f>
        <v>593.16935840296549</v>
      </c>
      <c r="AR169" s="8"/>
      <c r="AS169" s="11">
        <f>IF((AL169-$AF$6)&lt;0,0,(AL169-$AF$6)*$AF$5)</f>
        <v>254.4183217739189</v>
      </c>
      <c r="AT169" s="11">
        <f>AJ169-AS169</f>
        <v>30609.372606739013</v>
      </c>
    </row>
    <row r="170" spans="1:48" x14ac:dyDescent="0.25">
      <c r="U170" s="8" t="s">
        <v>47</v>
      </c>
      <c r="V170" s="8">
        <f>V169+1</f>
        <v>19</v>
      </c>
      <c r="W170" s="11">
        <v>2500</v>
      </c>
      <c r="X170" s="8"/>
      <c r="Y170" s="11">
        <f t="shared" si="139"/>
        <v>55802.294717461722</v>
      </c>
      <c r="Z170" s="11">
        <f>W170+Z169-AK170</f>
        <v>24363.23662291294</v>
      </c>
      <c r="AA170" s="11">
        <f>Y170-Z170</f>
        <v>31439.058094548782</v>
      </c>
      <c r="AB170" s="12">
        <f>AB169*(1+$E$3)</f>
        <v>49.297597614001624</v>
      </c>
      <c r="AC170" s="12"/>
      <c r="AD170" s="13">
        <f t="shared" si="143"/>
        <v>1131.9475475132001</v>
      </c>
      <c r="AE170" s="11">
        <f t="shared" si="144"/>
        <v>1562.4642520889283</v>
      </c>
      <c r="AF170" s="11"/>
      <c r="AG170" s="11">
        <f t="shared" si="146"/>
        <v>0</v>
      </c>
      <c r="AH170" s="11">
        <f t="shared" si="134"/>
        <v>2343.696378133393</v>
      </c>
      <c r="AI170" s="11">
        <f t="shared" si="137"/>
        <v>59708.455347684037</v>
      </c>
      <c r="AJ170" s="11">
        <f>AJ169</f>
        <v>30863.790928512932</v>
      </c>
      <c r="AK170" s="11">
        <f>AJ170*(Z169/(Y169+AE169+AH169))</f>
        <v>12659.53684971718</v>
      </c>
      <c r="AL170" s="11">
        <f>AJ170*(AA169+AE169+AH169)/(Y169+AE169+AH169)</f>
        <v>18204.254078795748</v>
      </c>
      <c r="AM170" s="11">
        <f>MIN(AE169,AL170)</f>
        <v>2202.4770075582151</v>
      </c>
      <c r="AN170" s="11">
        <f>AL170-AM170</f>
        <v>16001.777071237533</v>
      </c>
      <c r="AO170" s="8"/>
      <c r="AP170" s="8"/>
      <c r="AQ170" s="13">
        <f>AN170/AB170+AK170/AB170</f>
        <v>581.39372521500434</v>
      </c>
      <c r="AR170" s="8"/>
      <c r="AS170" s="11">
        <f t="shared" ref="AS170:AS172" si="147">IF((AL170-$AF$6)&lt;0,0,(AL170-$AF$6)*$AF$5)</f>
        <v>318.11510214328581</v>
      </c>
      <c r="AT170" s="11">
        <f>AJ170-AS170</f>
        <v>30545.675826369647</v>
      </c>
    </row>
    <row r="171" spans="1:48" x14ac:dyDescent="0.25">
      <c r="U171" s="8" t="s">
        <v>47</v>
      </c>
      <c r="V171" s="8">
        <f t="shared" si="138"/>
        <v>20</v>
      </c>
      <c r="W171" s="8"/>
      <c r="X171" s="8"/>
      <c r="Y171" s="11">
        <f t="shared" si="139"/>
        <v>28844.664419171117</v>
      </c>
      <c r="Z171" s="11">
        <f t="shared" ref="Z171:Z172" si="148">W171+Z170-AK171</f>
        <v>11769.679527977296</v>
      </c>
      <c r="AA171" s="11">
        <f t="shared" ref="AA171:AA172" si="149">Y171-Z171</f>
        <v>17074.984891193821</v>
      </c>
      <c r="AB171" s="12">
        <f t="shared" ref="AB171:AB172" si="150">AB170*(1+$E$3)</f>
        <v>51.368096713789697</v>
      </c>
      <c r="AC171" s="12"/>
      <c r="AD171" s="13">
        <f t="shared" si="143"/>
        <v>561.52877494929271</v>
      </c>
      <c r="AE171" s="11">
        <f t="shared" si="144"/>
        <v>807.65060373679125</v>
      </c>
      <c r="AF171" s="11"/>
      <c r="AG171" s="11">
        <f t="shared" si="146"/>
        <v>0</v>
      </c>
      <c r="AH171" s="11">
        <f t="shared" si="134"/>
        <v>1211.4759056051871</v>
      </c>
      <c r="AI171" s="11">
        <f t="shared" si="137"/>
        <v>30863.790928513095</v>
      </c>
      <c r="AJ171" s="11">
        <f>AJ170</f>
        <v>30863.790928512932</v>
      </c>
      <c r="AK171" s="11">
        <f>AJ171*(Z170/(Y170+AE170+AH170))</f>
        <v>12593.557094935644</v>
      </c>
      <c r="AL171" s="11">
        <f>AJ171*(AA170+AE170+AH170)/(Y170+AE170+AH170)</f>
        <v>18270.233833577284</v>
      </c>
      <c r="AM171" s="11">
        <f t="shared" ref="AM171:AM172" si="151">MIN(AE170,AL171)</f>
        <v>1562.4642520889283</v>
      </c>
      <c r="AN171" s="11">
        <f t="shared" ref="AN171:AN172" si="152">AL171-AM171</f>
        <v>16707.769581488355</v>
      </c>
      <c r="AO171" s="8"/>
      <c r="AP171" s="8"/>
      <c r="AQ171" s="13">
        <f t="shared" ref="AQ171:AQ172" si="153">AN171/AB171+AK171/AB171</f>
        <v>570.4187725639074</v>
      </c>
      <c r="AR171" s="8"/>
      <c r="AS171" s="11">
        <f t="shared" si="147"/>
        <v>331.34404297698381</v>
      </c>
      <c r="AT171" s="11">
        <f t="shared" ref="AT171:AT172" si="154">AJ171-AS171</f>
        <v>30532.446885535948</v>
      </c>
    </row>
    <row r="172" spans="1:48" x14ac:dyDescent="0.25">
      <c r="U172" s="8" t="s">
        <v>47</v>
      </c>
      <c r="V172" s="8">
        <f t="shared" si="138"/>
        <v>21</v>
      </c>
      <c r="W172" s="8"/>
      <c r="X172" s="8"/>
      <c r="Y172" s="11">
        <f t="shared" si="139"/>
        <v>1.6429908475240147E-10</v>
      </c>
      <c r="Z172" s="11">
        <f t="shared" si="148"/>
        <v>6.184563972055912E-11</v>
      </c>
      <c r="AA172" s="11">
        <f t="shared" si="149"/>
        <v>1.0245344503184235E-10</v>
      </c>
      <c r="AB172" s="12">
        <f t="shared" si="150"/>
        <v>53.525556775768869</v>
      </c>
      <c r="AC172" s="12"/>
      <c r="AD172" s="13">
        <f t="shared" si="143"/>
        <v>3.0695446184836328E-12</v>
      </c>
      <c r="AE172" s="11">
        <f t="shared" si="144"/>
        <v>4.600374373067241E-12</v>
      </c>
      <c r="AF172" s="11"/>
      <c r="AG172" s="11">
        <f t="shared" si="146"/>
        <v>4.600374373067241E-12</v>
      </c>
      <c r="AH172" s="11">
        <f t="shared" si="134"/>
        <v>6.9005615596008635E-12</v>
      </c>
      <c r="AI172" s="11">
        <f t="shared" si="137"/>
        <v>1.7580002068506958E-10</v>
      </c>
      <c r="AJ172" s="11">
        <f>AJ171</f>
        <v>30863.790928512932</v>
      </c>
      <c r="AK172" s="11">
        <f>AJ172*(Z171/(Y171+AE171+AH171))</f>
        <v>11769.679527977234</v>
      </c>
      <c r="AL172" s="11">
        <f>AJ172*(AA171+AE171+AH171)/(Y171+AE171+AH171)</f>
        <v>19094.111400535701</v>
      </c>
      <c r="AM172" s="11">
        <f t="shared" si="151"/>
        <v>807.65060373679125</v>
      </c>
      <c r="AN172" s="11">
        <f t="shared" si="152"/>
        <v>18286.46079679891</v>
      </c>
      <c r="AO172" s="8"/>
      <c r="AP172" s="8"/>
      <c r="AQ172" s="13">
        <f t="shared" si="153"/>
        <v>561.52877494928964</v>
      </c>
      <c r="AR172" s="8"/>
      <c r="AS172" s="11">
        <f t="shared" si="147"/>
        <v>496.53149515214653</v>
      </c>
      <c r="AT172" s="11">
        <f t="shared" si="154"/>
        <v>30367.259433360785</v>
      </c>
    </row>
    <row r="173" spans="1:48" x14ac:dyDescent="0.25">
      <c r="A173" s="1" t="s">
        <v>56</v>
      </c>
      <c r="B173" s="3"/>
      <c r="C173" s="3">
        <f>SUM(C151:C172)</f>
        <v>0</v>
      </c>
      <c r="D173" s="3"/>
      <c r="E173" s="3"/>
      <c r="F173" s="3"/>
      <c r="G173" s="3"/>
      <c r="H173" s="3">
        <f>SUM(H151:H172)</f>
        <v>0</v>
      </c>
      <c r="I173" s="3">
        <f>SUM(I151:I172)</f>
        <v>0</v>
      </c>
      <c r="J173" s="3"/>
      <c r="K173" s="3">
        <f>SUM(K151:K172)</f>
        <v>0</v>
      </c>
      <c r="L173" s="3"/>
      <c r="M173" s="3"/>
      <c r="N173" s="3"/>
      <c r="O173" s="3"/>
      <c r="P173" s="5"/>
      <c r="Q173" s="3"/>
      <c r="R173" s="3">
        <f>SUM(R151:R172)</f>
        <v>0</v>
      </c>
      <c r="S173" s="3">
        <f>SUM(S151:S172)</f>
        <v>0</v>
      </c>
      <c r="U173" s="1" t="s">
        <v>56</v>
      </c>
      <c r="W173" s="3">
        <f>SUM(W151:W172)</f>
        <v>50000</v>
      </c>
      <c r="X173" s="3">
        <f>SUM(X151:X172)</f>
        <v>7200</v>
      </c>
      <c r="Y173" s="3"/>
      <c r="Z173" s="3"/>
      <c r="AA173" s="3"/>
      <c r="AB173" s="6"/>
      <c r="AC173" s="6"/>
      <c r="AD173" s="5"/>
      <c r="AE173" s="3">
        <f>SUM(AE151:AE172)</f>
        <v>26502.065485620733</v>
      </c>
      <c r="AF173" s="3"/>
      <c r="AG173" s="3"/>
      <c r="AH173" s="3">
        <f>SUM(AH151:AH172)</f>
        <v>39753.098228431096</v>
      </c>
      <c r="AI173" s="3"/>
      <c r="AJ173" s="3"/>
      <c r="AS173" s="3">
        <f>SUM(AS151:AS172)</f>
        <v>1400.4089620463351</v>
      </c>
      <c r="AT173" s="3">
        <f>SUM(AT151:AT172)</f>
        <v>122054.75475200539</v>
      </c>
      <c r="AV173" s="3"/>
    </row>
    <row r="174" spans="1:48" x14ac:dyDescent="0.25">
      <c r="A174" s="1" t="s">
        <v>62</v>
      </c>
      <c r="C174" s="3">
        <f>SUM(C151:C168)</f>
        <v>0</v>
      </c>
      <c r="D174" s="3"/>
      <c r="G174" s="5"/>
      <c r="H174" s="3">
        <f>SUM(H151:H168)</f>
        <v>0</v>
      </c>
      <c r="I174" s="3">
        <f>SUM(I151:I168)</f>
        <v>0</v>
      </c>
      <c r="K174" s="3">
        <f>SUM(K151:K168)</f>
        <v>0</v>
      </c>
      <c r="R174" s="3">
        <f>SUM(R151:R168)</f>
        <v>0</v>
      </c>
      <c r="S174" s="3">
        <f>SUM(S151:S168)</f>
        <v>0</v>
      </c>
      <c r="U174" s="1" t="s">
        <v>62</v>
      </c>
      <c r="W174" s="3">
        <f>SUM(W151:W168)</f>
        <v>45000</v>
      </c>
      <c r="X174" s="3">
        <f>SUM(X151:X168)</f>
        <v>7200</v>
      </c>
      <c r="Y174" s="3"/>
      <c r="Z174" s="3"/>
      <c r="AA174" s="3"/>
      <c r="AB174" s="6"/>
      <c r="AC174" s="6"/>
      <c r="AD174" s="5"/>
      <c r="AE174" s="3">
        <f>SUM(AE151:AE168)</f>
        <v>21929.473622236794</v>
      </c>
      <c r="AF174" s="3"/>
      <c r="AG174" s="3"/>
      <c r="AH174" s="3">
        <f>SUM(AH151:AH168)</f>
        <v>32894.210433355191</v>
      </c>
      <c r="AI174" s="3"/>
      <c r="AJ174" s="3"/>
      <c r="AS174" s="3">
        <f>SUM(AS151:AS168)</f>
        <v>0</v>
      </c>
      <c r="AT174" s="3">
        <f>SUM(AT151:AT168)</f>
        <v>0</v>
      </c>
      <c r="AV174" s="3"/>
    </row>
    <row r="175" spans="1:48" x14ac:dyDescent="0.25">
      <c r="A175" s="1" t="s">
        <v>47</v>
      </c>
      <c r="C175" s="3">
        <f>SUM(C169:C172)</f>
        <v>0</v>
      </c>
      <c r="D175" s="3"/>
      <c r="G175" s="5"/>
      <c r="H175" s="3">
        <f>SUM(H169:H172)</f>
        <v>0</v>
      </c>
      <c r="I175" s="3">
        <f>SUM(I169:I172)</f>
        <v>0</v>
      </c>
      <c r="K175" s="3">
        <f>SUM(K169:K172)</f>
        <v>0</v>
      </c>
      <c r="R175" s="3">
        <f>SUM(R169:R172)</f>
        <v>0</v>
      </c>
      <c r="S175" s="3">
        <f>SUM(S169:S172)</f>
        <v>0</v>
      </c>
      <c r="U175" s="1" t="s">
        <v>47</v>
      </c>
      <c r="W175" s="3">
        <f>SUM(W169:W172)</f>
        <v>5000</v>
      </c>
      <c r="X175" s="3">
        <f>SUM(X169:X172)</f>
        <v>0</v>
      </c>
      <c r="AD175" s="5"/>
      <c r="AE175" s="3">
        <f>SUM(AE169:AE172)</f>
        <v>4572.5918633839392</v>
      </c>
      <c r="AH175" s="3">
        <f>SUM(AH169:AH172)</f>
        <v>6858.8877950759106</v>
      </c>
      <c r="AS175" s="3">
        <f>SUM(AS169:AS172)</f>
        <v>1400.4089620463351</v>
      </c>
      <c r="AT175" s="3">
        <f>SUM(AT169:AT172)</f>
        <v>122054.75475200539</v>
      </c>
      <c r="AV175" s="3">
        <f>AT175+S175</f>
        <v>122054.75475200539</v>
      </c>
    </row>
    <row r="180" spans="22:25" x14ac:dyDescent="0.25">
      <c r="V180" s="7" t="s">
        <v>39</v>
      </c>
      <c r="W180" s="7" t="s">
        <v>43</v>
      </c>
      <c r="X180" s="7" t="s">
        <v>44</v>
      </c>
      <c r="Y180" s="7" t="s">
        <v>45</v>
      </c>
    </row>
    <row r="181" spans="22:25" x14ac:dyDescent="0.25">
      <c r="V181" s="7" t="s">
        <v>40</v>
      </c>
      <c r="W181" s="6">
        <f>FV(7%,14,-3000,0,1)</f>
        <v>72387.066030657166</v>
      </c>
      <c r="X181" s="6">
        <f>FV(7%,4,0,W181*-1,1)</f>
        <v>94884.677328591948</v>
      </c>
    </row>
    <row r="182" spans="22:25" x14ac:dyDescent="0.25">
      <c r="V182" s="7" t="s">
        <v>41</v>
      </c>
      <c r="W182" s="6">
        <f>FV(7%,1,-2700,0,1)</f>
        <v>2889.0000000000027</v>
      </c>
      <c r="X182" s="6">
        <f>FV(7%,3,0,W182*-1,1)</f>
        <v>3539.1492270000035</v>
      </c>
    </row>
    <row r="183" spans="22:25" x14ac:dyDescent="0.25">
      <c r="V183" s="7" t="s">
        <v>42</v>
      </c>
      <c r="W183" s="6">
        <f>FV(7%,3,-2500,0,1)</f>
        <v>8599.8575000000037</v>
      </c>
      <c r="X183" s="6">
        <f>FV(7%,0,0,W183*-1,1)</f>
        <v>8599.8575000000037</v>
      </c>
    </row>
    <row r="184" spans="22:25" x14ac:dyDescent="0.25">
      <c r="X184" s="6">
        <f>SUM(X181:X183)</f>
        <v>107023.68405559195</v>
      </c>
      <c r="Y184" s="6">
        <f>SUM(Y168,AE168,AH168)</f>
        <v>107023.68405559202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185"/>
  <sheetViews>
    <sheetView topLeftCell="A131" zoomScale="80" zoomScaleNormal="80" zoomScalePageLayoutView="80" workbookViewId="0">
      <selection activeCell="G156" sqref="G156"/>
    </sheetView>
  </sheetViews>
  <sheetFormatPr defaultColWidth="8.85546875" defaultRowHeight="15" x14ac:dyDescent="0.25"/>
  <cols>
    <col min="1" max="1" width="10.42578125" style="1" customWidth="1"/>
    <col min="2" max="3" width="11" style="1" customWidth="1"/>
    <col min="4" max="19" width="13.7109375" style="1" customWidth="1"/>
    <col min="20" max="21" width="11" style="1" customWidth="1"/>
    <col min="22" max="46" width="13.7109375" style="1" customWidth="1"/>
    <col min="47" max="16384" width="8.85546875" style="1"/>
  </cols>
  <sheetData>
    <row r="1" spans="1:32" x14ac:dyDescent="0.25">
      <c r="N1" s="4"/>
    </row>
    <row r="2" spans="1:32" x14ac:dyDescent="0.25">
      <c r="D2" s="7" t="s">
        <v>0</v>
      </c>
      <c r="E2" s="2">
        <v>2.8000000000000001E-2</v>
      </c>
      <c r="F2" s="2"/>
      <c r="G2" s="2"/>
      <c r="I2" s="7" t="s">
        <v>15</v>
      </c>
      <c r="J2" s="15" t="str">
        <f>"over $"&amp;ROUND((91831*(1+0%)^17),0)&amp;" up to $"&amp;ROUND((142353*(1+0%)^17),0)</f>
        <v>over $91831 up to $142353</v>
      </c>
      <c r="N2" s="2"/>
      <c r="AE2" s="7" t="s">
        <v>16</v>
      </c>
      <c r="AF2" s="15" t="str">
        <f>"first $"&amp;ROUND((42201*(1+0%)^17),0)</f>
        <v>first $42201</v>
      </c>
    </row>
    <row r="3" spans="1:32" x14ac:dyDescent="0.25">
      <c r="D3" s="7" t="s">
        <v>48</v>
      </c>
      <c r="E3" s="2">
        <f>E4-E2</f>
        <v>2.2000000000000002E-2</v>
      </c>
      <c r="F3" s="2"/>
      <c r="G3" s="2"/>
      <c r="I3" s="7" t="s">
        <v>7</v>
      </c>
      <c r="J3" s="2">
        <v>0.25380000000000003</v>
      </c>
      <c r="N3" s="2"/>
      <c r="AE3" s="7" t="s">
        <v>7</v>
      </c>
      <c r="AF3" s="14">
        <v>-6.8599999999999994E-2</v>
      </c>
    </row>
    <row r="4" spans="1:32" x14ac:dyDescent="0.25">
      <c r="D4" s="7" t="s">
        <v>3</v>
      </c>
      <c r="E4" s="2">
        <v>0.05</v>
      </c>
      <c r="F4" s="2"/>
      <c r="G4" s="2"/>
      <c r="I4" s="7" t="s">
        <v>8</v>
      </c>
      <c r="J4" s="2">
        <v>0.217</v>
      </c>
      <c r="N4" s="2"/>
      <c r="AE4" s="7" t="s">
        <v>8</v>
      </c>
      <c r="AF4" s="14">
        <v>0.1003</v>
      </c>
    </row>
    <row r="5" spans="1:32" x14ac:dyDescent="0.25">
      <c r="D5" s="7"/>
      <c r="E5" s="2"/>
      <c r="F5" s="2"/>
      <c r="G5" s="2"/>
      <c r="I5" s="7" t="s">
        <v>10</v>
      </c>
      <c r="J5" s="2">
        <v>0.43409999999999999</v>
      </c>
      <c r="AE5" s="7" t="s">
        <v>10</v>
      </c>
      <c r="AF5" s="14">
        <v>0.20050000000000001</v>
      </c>
    </row>
    <row r="6" spans="1:32" x14ac:dyDescent="0.25">
      <c r="I6" s="7" t="s">
        <v>36</v>
      </c>
      <c r="J6" s="3">
        <f>11635*(1)^18</f>
        <v>11635</v>
      </c>
      <c r="AE6" s="7" t="s">
        <v>36</v>
      </c>
      <c r="AF6" s="3">
        <f>11635*(1)^18</f>
        <v>11635</v>
      </c>
    </row>
    <row r="8" spans="1:32" x14ac:dyDescent="0.25">
      <c r="J8" s="3"/>
    </row>
    <row r="9" spans="1:32" x14ac:dyDescent="0.25">
      <c r="B9" s="9"/>
      <c r="C9" s="9"/>
      <c r="D9" s="9"/>
      <c r="E9" s="9"/>
      <c r="F9" s="9"/>
      <c r="G9" s="9"/>
      <c r="H9" s="18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32" ht="81.75" customHeight="1" x14ac:dyDescent="0.25">
      <c r="A10" s="19" t="s">
        <v>12</v>
      </c>
      <c r="C10" s="10" t="s">
        <v>23</v>
      </c>
      <c r="D10" s="10" t="s">
        <v>22</v>
      </c>
      <c r="E10" s="10" t="s">
        <v>29</v>
      </c>
      <c r="F10" s="10" t="s">
        <v>9</v>
      </c>
      <c r="G10" s="10" t="s">
        <v>11</v>
      </c>
      <c r="H10" s="10" t="s">
        <v>4</v>
      </c>
      <c r="I10" s="10" t="s">
        <v>6</v>
      </c>
      <c r="J10" s="10" t="s">
        <v>32</v>
      </c>
      <c r="K10" s="10" t="s">
        <v>5</v>
      </c>
      <c r="L10" s="10" t="s">
        <v>46</v>
      </c>
      <c r="M10" s="10" t="s">
        <v>19</v>
      </c>
      <c r="N10" s="10" t="s">
        <v>30</v>
      </c>
      <c r="O10" s="10" t="s">
        <v>18</v>
      </c>
      <c r="P10" s="10" t="s">
        <v>17</v>
      </c>
      <c r="Q10" s="10" t="s">
        <v>14</v>
      </c>
      <c r="R10" s="10" t="s">
        <v>54</v>
      </c>
      <c r="S10" s="10" t="s">
        <v>20</v>
      </c>
    </row>
    <row r="11" spans="1:32" x14ac:dyDescent="0.25">
      <c r="B11" s="1">
        <v>0</v>
      </c>
      <c r="C11" s="3">
        <v>50000</v>
      </c>
      <c r="D11" s="3">
        <f>C11</f>
        <v>50000</v>
      </c>
      <c r="E11" s="6">
        <v>22.56</v>
      </c>
      <c r="F11" s="6">
        <v>22.56</v>
      </c>
      <c r="G11" s="5">
        <f>D11/E11</f>
        <v>2216.3120567375886</v>
      </c>
      <c r="H11" s="3">
        <f>D11*$E$2</f>
        <v>1400</v>
      </c>
      <c r="I11" s="3">
        <f>H11*(1-$J$3)</f>
        <v>1044.68</v>
      </c>
      <c r="J11" s="3">
        <f>I11-N12</f>
        <v>1044.68</v>
      </c>
      <c r="K11" s="3">
        <f>D11*$E$3</f>
        <v>1100</v>
      </c>
      <c r="L11" s="3">
        <f>D11+I11+K11</f>
        <v>52144.68</v>
      </c>
      <c r="M11" s="3"/>
    </row>
    <row r="12" spans="1:32" x14ac:dyDescent="0.25">
      <c r="B12" s="1">
        <f>B11+1</f>
        <v>1</v>
      </c>
      <c r="D12" s="3">
        <f>D11+I11+K11-N12-O12+C12</f>
        <v>52144.68</v>
      </c>
      <c r="E12" s="6">
        <f>E11*(1+$E$3)</f>
        <v>23.056319999999999</v>
      </c>
      <c r="F12" s="6">
        <f>(F11*G11+J11+C12)/G12</f>
        <v>22.569943403192809</v>
      </c>
      <c r="G12" s="5">
        <f>G11+(J11+C12)/E12</f>
        <v>2261.6219761002621</v>
      </c>
      <c r="H12" s="3">
        <f t="shared" ref="H12:H32" si="0">D12*$E$2</f>
        <v>1460.0510400000001</v>
      </c>
      <c r="I12" s="3">
        <f>H12*(1-$J$3)</f>
        <v>1089.490086048</v>
      </c>
      <c r="J12" s="3">
        <f t="shared" ref="J12:J32" si="1">I12-N13</f>
        <v>1089.490086048</v>
      </c>
      <c r="K12" s="3">
        <f>D12*$E$3</f>
        <v>1147.1829600000001</v>
      </c>
      <c r="L12" s="3">
        <f t="shared" ref="L12:L32" si="2">D12+I12+K12</f>
        <v>54381.353046047996</v>
      </c>
    </row>
    <row r="13" spans="1:32" x14ac:dyDescent="0.25">
      <c r="B13" s="1">
        <f t="shared" ref="B13:B32" si="3">B12+1</f>
        <v>2</v>
      </c>
      <c r="D13" s="3">
        <f t="shared" ref="D13:D32" si="4">D12+I12+K12-N13-O13+C13</f>
        <v>54381.353046047996</v>
      </c>
      <c r="E13" s="6">
        <f t="shared" ref="E13:E32" si="5">E12*(1+$E$3)</f>
        <v>23.563559040000001</v>
      </c>
      <c r="F13" s="6">
        <f t="shared" ref="F13:F14" si="6">(F12*G12+J12+C13)/G13</f>
        <v>22.589849755738452</v>
      </c>
      <c r="G13" s="5">
        <f t="shared" ref="G13:G14" si="7">G12+(J12+C13)/E13</f>
        <v>2307.8582040061806</v>
      </c>
      <c r="H13" s="3">
        <f t="shared" si="0"/>
        <v>1522.677885289344</v>
      </c>
      <c r="I13" s="3">
        <f>H13*(1-$J$3)</f>
        <v>1136.2222380029084</v>
      </c>
      <c r="J13" s="3">
        <f t="shared" si="1"/>
        <v>1136.2222380029084</v>
      </c>
      <c r="K13" s="3">
        <f t="shared" ref="K13:K32" si="8">D13*$E$3</f>
        <v>1196.3897670130561</v>
      </c>
      <c r="L13" s="3">
        <f t="shared" si="2"/>
        <v>56713.965051063955</v>
      </c>
    </row>
    <row r="14" spans="1:32" x14ac:dyDescent="0.25">
      <c r="B14" s="1">
        <f t="shared" si="3"/>
        <v>3</v>
      </c>
      <c r="D14" s="3">
        <f t="shared" si="4"/>
        <v>56713.965051063955</v>
      </c>
      <c r="E14" s="6">
        <f t="shared" si="5"/>
        <v>24.081957338880002</v>
      </c>
      <c r="F14" s="6">
        <f t="shared" si="6"/>
        <v>22.619743024811275</v>
      </c>
      <c r="G14" s="5">
        <f t="shared" si="7"/>
        <v>2355.0396777549317</v>
      </c>
      <c r="H14" s="3">
        <f t="shared" si="0"/>
        <v>1587.9910214297909</v>
      </c>
      <c r="I14" s="3">
        <f t="shared" ref="I14:I32" si="9">H14*(1-$J$3)</f>
        <v>1184.9589001909098</v>
      </c>
      <c r="J14" s="3">
        <f t="shared" si="1"/>
        <v>1184.9589001909098</v>
      </c>
      <c r="K14" s="3">
        <f t="shared" si="8"/>
        <v>1247.7072311234072</v>
      </c>
      <c r="L14" s="3">
        <f t="shared" si="2"/>
        <v>59146.631182378274</v>
      </c>
    </row>
    <row r="15" spans="1:32" x14ac:dyDescent="0.25">
      <c r="B15" s="1">
        <f t="shared" si="3"/>
        <v>4</v>
      </c>
      <c r="D15" s="3">
        <f t="shared" si="4"/>
        <v>59146.631182378274</v>
      </c>
      <c r="E15" s="6">
        <f t="shared" si="5"/>
        <v>24.611760400335363</v>
      </c>
      <c r="F15" s="6">
        <f>(F14*G14+J14+C15)/G15</f>
        <v>22.659651615905567</v>
      </c>
      <c r="G15" s="5">
        <f>G14+(J14+C15)/E15</f>
        <v>2403.1857217971433</v>
      </c>
      <c r="H15" s="3">
        <f t="shared" si="0"/>
        <v>1656.1056731065917</v>
      </c>
      <c r="I15" s="3">
        <f t="shared" si="9"/>
        <v>1235.7860532721386</v>
      </c>
      <c r="J15" s="3">
        <f t="shared" si="1"/>
        <v>1235.7860532721386</v>
      </c>
      <c r="K15" s="3">
        <f t="shared" si="8"/>
        <v>1301.2258860123222</v>
      </c>
      <c r="L15" s="3">
        <f t="shared" si="2"/>
        <v>61683.643121662739</v>
      </c>
    </row>
    <row r="16" spans="1:32" x14ac:dyDescent="0.25">
      <c r="B16" s="1">
        <f t="shared" si="3"/>
        <v>5</v>
      </c>
      <c r="D16" s="3">
        <f t="shared" si="4"/>
        <v>61683.643121662739</v>
      </c>
      <c r="E16" s="6">
        <f t="shared" si="5"/>
        <v>25.153219129142741</v>
      </c>
      <c r="F16" s="6">
        <f t="shared" ref="F16:F32" si="10">(F15*G15+J15+C16)/G16</f>
        <v>22.709608392123748</v>
      </c>
      <c r="G16" s="5">
        <f t="shared" ref="G16:G32" si="11">G15+(J15+C16)/E16</f>
        <v>2452.3160556493358</v>
      </c>
      <c r="H16" s="3">
        <f t="shared" si="0"/>
        <v>1727.1420074065568</v>
      </c>
      <c r="I16" s="3">
        <f t="shared" si="9"/>
        <v>1288.7933659267726</v>
      </c>
      <c r="J16" s="3">
        <f t="shared" si="1"/>
        <v>1288.7933659267726</v>
      </c>
      <c r="K16" s="3">
        <f t="shared" si="8"/>
        <v>1357.0401486765804</v>
      </c>
      <c r="L16" s="3">
        <f t="shared" si="2"/>
        <v>64329.476636266088</v>
      </c>
    </row>
    <row r="17" spans="1:19" x14ac:dyDescent="0.25">
      <c r="B17" s="1">
        <f t="shared" si="3"/>
        <v>6</v>
      </c>
      <c r="D17" s="3">
        <f t="shared" si="4"/>
        <v>64329.476636266088</v>
      </c>
      <c r="E17" s="6">
        <f t="shared" si="5"/>
        <v>25.706589949983883</v>
      </c>
      <c r="F17" s="6">
        <f t="shared" si="10"/>
        <v>22.769650695458726</v>
      </c>
      <c r="G17" s="5">
        <f t="shared" si="11"/>
        <v>2502.4508019705831</v>
      </c>
      <c r="H17" s="3">
        <f t="shared" si="0"/>
        <v>1801.2253458154505</v>
      </c>
      <c r="I17" s="3">
        <f t="shared" si="9"/>
        <v>1344.074353047489</v>
      </c>
      <c r="J17" s="3">
        <f t="shared" si="1"/>
        <v>1344.074353047489</v>
      </c>
      <c r="K17" s="3">
        <f t="shared" si="8"/>
        <v>1415.248485997854</v>
      </c>
      <c r="L17" s="3">
        <f t="shared" si="2"/>
        <v>67088.799475311433</v>
      </c>
    </row>
    <row r="18" spans="1:19" x14ac:dyDescent="0.25">
      <c r="B18" s="1">
        <f t="shared" si="3"/>
        <v>7</v>
      </c>
      <c r="D18" s="3">
        <f t="shared" si="4"/>
        <v>67088.799475311433</v>
      </c>
      <c r="E18" s="6">
        <f t="shared" si="5"/>
        <v>26.272134928883528</v>
      </c>
      <c r="F18" s="6">
        <f t="shared" si="10"/>
        <v>22.839820370082755</v>
      </c>
      <c r="G18" s="5">
        <f t="shared" si="11"/>
        <v>2553.6104948042939</v>
      </c>
      <c r="H18" s="3">
        <f t="shared" si="0"/>
        <v>1878.4863853087202</v>
      </c>
      <c r="I18" s="3">
        <f t="shared" si="9"/>
        <v>1401.726540717367</v>
      </c>
      <c r="J18" s="3">
        <f t="shared" si="1"/>
        <v>1401.726540717367</v>
      </c>
      <c r="K18" s="3">
        <f t="shared" si="8"/>
        <v>1475.9535884568518</v>
      </c>
      <c r="L18" s="3">
        <f t="shared" si="2"/>
        <v>69966.479604485648</v>
      </c>
    </row>
    <row r="19" spans="1:19" x14ac:dyDescent="0.25">
      <c r="B19" s="1">
        <f t="shared" si="3"/>
        <v>8</v>
      </c>
      <c r="D19" s="3">
        <f t="shared" si="4"/>
        <v>69966.479604485648</v>
      </c>
      <c r="E19" s="6">
        <f t="shared" si="5"/>
        <v>26.850121897318967</v>
      </c>
      <c r="F19" s="6">
        <f t="shared" si="10"/>
        <v>22.920163787656186</v>
      </c>
      <c r="G19" s="5">
        <f t="shared" si="11"/>
        <v>2605.8160879884849</v>
      </c>
      <c r="H19" s="3">
        <f t="shared" si="0"/>
        <v>1959.0614289255982</v>
      </c>
      <c r="I19" s="3">
        <f t="shared" si="9"/>
        <v>1461.8516382642813</v>
      </c>
      <c r="J19" s="3">
        <f t="shared" si="1"/>
        <v>1461.8516382642813</v>
      </c>
      <c r="K19" s="3">
        <f t="shared" si="8"/>
        <v>1539.2625512986845</v>
      </c>
      <c r="L19" s="3">
        <f t="shared" si="2"/>
        <v>72967.593794048618</v>
      </c>
    </row>
    <row r="20" spans="1:19" x14ac:dyDescent="0.25">
      <c r="B20" s="1">
        <f t="shared" si="3"/>
        <v>9</v>
      </c>
      <c r="D20" s="3">
        <f t="shared" si="4"/>
        <v>72967.593794048618</v>
      </c>
      <c r="E20" s="6">
        <f t="shared" si="5"/>
        <v>27.440824579059985</v>
      </c>
      <c r="F20" s="6">
        <f t="shared" si="10"/>
        <v>23.010731874670313</v>
      </c>
      <c r="G20" s="5">
        <f t="shared" si="11"/>
        <v>2659.0889637379919</v>
      </c>
      <c r="H20" s="3">
        <f t="shared" si="0"/>
        <v>2043.0926262333614</v>
      </c>
      <c r="I20" s="3">
        <f t="shared" si="9"/>
        <v>1524.5557176953344</v>
      </c>
      <c r="J20" s="3">
        <f t="shared" si="1"/>
        <v>1524.5557176953344</v>
      </c>
      <c r="K20" s="3">
        <f t="shared" si="8"/>
        <v>1605.2870634690698</v>
      </c>
      <c r="L20" s="3">
        <f t="shared" si="2"/>
        <v>76097.436575213011</v>
      </c>
    </row>
    <row r="21" spans="1:19" x14ac:dyDescent="0.25">
      <c r="B21" s="1">
        <f t="shared" si="3"/>
        <v>10</v>
      </c>
      <c r="D21" s="3">
        <f t="shared" si="4"/>
        <v>76097.436575213011</v>
      </c>
      <c r="E21" s="6">
        <f t="shared" si="5"/>
        <v>28.044522719799303</v>
      </c>
      <c r="F21" s="6">
        <f t="shared" si="10"/>
        <v>23.111580141839454</v>
      </c>
      <c r="G21" s="5">
        <f t="shared" si="11"/>
        <v>2713.4509414021368</v>
      </c>
      <c r="H21" s="3">
        <f t="shared" si="0"/>
        <v>2130.7282241059643</v>
      </c>
      <c r="I21" s="3">
        <f t="shared" si="9"/>
        <v>1589.9494008278705</v>
      </c>
      <c r="J21" s="3">
        <f t="shared" si="1"/>
        <v>1589.9494008278705</v>
      </c>
      <c r="K21" s="3">
        <f t="shared" si="8"/>
        <v>1674.1436046546864</v>
      </c>
      <c r="L21" s="3">
        <f t="shared" si="2"/>
        <v>79361.529580695569</v>
      </c>
    </row>
    <row r="22" spans="1:19" x14ac:dyDescent="0.25">
      <c r="B22" s="1">
        <f t="shared" si="3"/>
        <v>11</v>
      </c>
      <c r="D22" s="3">
        <f t="shared" si="4"/>
        <v>79361.529580695569</v>
      </c>
      <c r="E22" s="6">
        <f t="shared" si="5"/>
        <v>28.66150221963489</v>
      </c>
      <c r="F22" s="6">
        <f t="shared" si="10"/>
        <v>23.222768715558409</v>
      </c>
      <c r="G22" s="5">
        <f t="shared" si="11"/>
        <v>2768.9242864014318</v>
      </c>
      <c r="H22" s="3">
        <f t="shared" si="0"/>
        <v>2222.1228282594761</v>
      </c>
      <c r="I22" s="3">
        <f t="shared" si="9"/>
        <v>1658.1480544472211</v>
      </c>
      <c r="J22" s="3">
        <f t="shared" si="1"/>
        <v>1658.1480544472211</v>
      </c>
      <c r="K22" s="3">
        <f t="shared" si="8"/>
        <v>1745.9536507753028</v>
      </c>
      <c r="L22" s="3">
        <f t="shared" si="2"/>
        <v>82765.631285918091</v>
      </c>
    </row>
    <row r="23" spans="1:19" x14ac:dyDescent="0.25">
      <c r="B23" s="1">
        <f t="shared" si="3"/>
        <v>12</v>
      </c>
      <c r="D23" s="3">
        <f t="shared" si="4"/>
        <v>82765.631285918091</v>
      </c>
      <c r="E23" s="6">
        <f t="shared" si="5"/>
        <v>29.292055268466857</v>
      </c>
      <c r="F23" s="6">
        <f t="shared" si="10"/>
        <v>23.344362371442237</v>
      </c>
      <c r="G23" s="5">
        <f t="shared" si="11"/>
        <v>2825.5317193469864</v>
      </c>
      <c r="H23" s="3">
        <f t="shared" si="0"/>
        <v>2317.4376760057066</v>
      </c>
      <c r="I23" s="3">
        <f t="shared" si="9"/>
        <v>1729.2719938354583</v>
      </c>
      <c r="J23" s="3">
        <f t="shared" si="1"/>
        <v>1729.2719938354583</v>
      </c>
      <c r="K23" s="3">
        <f t="shared" si="8"/>
        <v>1820.8438882901983</v>
      </c>
      <c r="L23" s="3">
        <f t="shared" si="2"/>
        <v>86315.747168043745</v>
      </c>
    </row>
    <row r="24" spans="1:19" x14ac:dyDescent="0.25">
      <c r="B24" s="1">
        <f t="shared" si="3"/>
        <v>13</v>
      </c>
      <c r="D24" s="3">
        <f t="shared" si="4"/>
        <v>86315.747168043745</v>
      </c>
      <c r="E24" s="6">
        <f t="shared" si="5"/>
        <v>29.936480484373128</v>
      </c>
      <c r="F24" s="6">
        <f t="shared" si="10"/>
        <v>23.476430569966354</v>
      </c>
      <c r="G24" s="5">
        <f t="shared" si="11"/>
        <v>2883.2964253463488</v>
      </c>
      <c r="H24" s="3">
        <f t="shared" si="0"/>
        <v>2416.840920705225</v>
      </c>
      <c r="I24" s="3">
        <f t="shared" si="9"/>
        <v>1803.4466950302387</v>
      </c>
      <c r="J24" s="3">
        <f t="shared" si="1"/>
        <v>1803.4466950302387</v>
      </c>
      <c r="K24" s="3">
        <f t="shared" si="8"/>
        <v>1898.9464376969627</v>
      </c>
      <c r="L24" s="3">
        <f t="shared" si="2"/>
        <v>90018.14030077096</v>
      </c>
    </row>
    <row r="25" spans="1:19" x14ac:dyDescent="0.25">
      <c r="B25" s="1">
        <f t="shared" si="3"/>
        <v>14</v>
      </c>
      <c r="D25" s="3">
        <f t="shared" si="4"/>
        <v>90018.14030077096</v>
      </c>
      <c r="E25" s="6">
        <f t="shared" si="5"/>
        <v>30.595083055029338</v>
      </c>
      <c r="F25" s="6">
        <f t="shared" si="10"/>
        <v>23.61904749422585</v>
      </c>
      <c r="G25" s="5">
        <f t="shared" si="11"/>
        <v>2942.2420634995938</v>
      </c>
      <c r="H25" s="3">
        <f t="shared" si="0"/>
        <v>2520.5079284215867</v>
      </c>
      <c r="I25" s="3">
        <f t="shared" si="9"/>
        <v>1880.8030161881879</v>
      </c>
      <c r="J25" s="3">
        <f t="shared" si="1"/>
        <v>1880.8030161881879</v>
      </c>
      <c r="K25" s="3">
        <f t="shared" si="8"/>
        <v>1980.3990866169613</v>
      </c>
      <c r="L25" s="3">
        <f t="shared" si="2"/>
        <v>93879.342403576113</v>
      </c>
    </row>
    <row r="26" spans="1:19" x14ac:dyDescent="0.25">
      <c r="B26" s="1">
        <f t="shared" si="3"/>
        <v>15</v>
      </c>
      <c r="D26" s="3">
        <f t="shared" si="4"/>
        <v>93879.342403576113</v>
      </c>
      <c r="E26" s="6">
        <f t="shared" si="5"/>
        <v>31.268174882239983</v>
      </c>
      <c r="F26" s="6">
        <f t="shared" si="10"/>
        <v>23.772292089833893</v>
      </c>
      <c r="G26" s="5">
        <f t="shared" si="11"/>
        <v>3002.3927765895496</v>
      </c>
      <c r="H26" s="3">
        <f t="shared" si="0"/>
        <v>2628.6215873001311</v>
      </c>
      <c r="I26" s="3">
        <f t="shared" si="9"/>
        <v>1961.4774284433577</v>
      </c>
      <c r="J26" s="3">
        <f t="shared" si="1"/>
        <v>1961.4774284433577</v>
      </c>
      <c r="K26" s="3">
        <f t="shared" si="8"/>
        <v>2065.3455328786745</v>
      </c>
      <c r="L26" s="3">
        <f t="shared" si="2"/>
        <v>97906.165364898145</v>
      </c>
    </row>
    <row r="27" spans="1:19" x14ac:dyDescent="0.25">
      <c r="B27" s="1">
        <f t="shared" si="3"/>
        <v>16</v>
      </c>
      <c r="D27" s="3">
        <f t="shared" si="4"/>
        <v>97906.165364898145</v>
      </c>
      <c r="E27" s="6">
        <f t="shared" si="5"/>
        <v>31.956074729649263</v>
      </c>
      <c r="F27" s="6">
        <f t="shared" si="10"/>
        <v>23.936248106980077</v>
      </c>
      <c r="G27" s="5">
        <f t="shared" si="11"/>
        <v>3063.7732009701281</v>
      </c>
      <c r="H27" s="3">
        <f t="shared" si="0"/>
        <v>2741.3726302171481</v>
      </c>
      <c r="I27" s="3">
        <f t="shared" si="9"/>
        <v>2045.6122566680358</v>
      </c>
      <c r="J27" s="3">
        <f t="shared" si="1"/>
        <v>2045.6122566680358</v>
      </c>
      <c r="K27" s="3">
        <f t="shared" si="8"/>
        <v>2153.9356380277595</v>
      </c>
      <c r="L27" s="3">
        <f t="shared" si="2"/>
        <v>102105.71325959395</v>
      </c>
    </row>
    <row r="28" spans="1:19" x14ac:dyDescent="0.25">
      <c r="B28" s="1">
        <f t="shared" si="3"/>
        <v>17</v>
      </c>
      <c r="D28" s="3">
        <f t="shared" si="4"/>
        <v>102105.71325959395</v>
      </c>
      <c r="E28" s="6">
        <f t="shared" si="5"/>
        <v>32.65910837370155</v>
      </c>
      <c r="F28" s="6">
        <f t="shared" si="10"/>
        <v>24.11100414467057</v>
      </c>
      <c r="G28" s="5">
        <f t="shared" si="11"/>
        <v>3126.4084766568103</v>
      </c>
      <c r="H28" s="3">
        <f t="shared" si="0"/>
        <v>2858.9599712686304</v>
      </c>
      <c r="I28" s="3">
        <f t="shared" si="9"/>
        <v>2133.3559305606518</v>
      </c>
      <c r="J28" s="3">
        <f t="shared" si="1"/>
        <v>0</v>
      </c>
      <c r="K28" s="3">
        <f t="shared" si="8"/>
        <v>2246.3256917110671</v>
      </c>
      <c r="L28" s="3">
        <f t="shared" si="2"/>
        <v>106485.39488186566</v>
      </c>
    </row>
    <row r="29" spans="1:19" x14ac:dyDescent="0.25">
      <c r="A29" s="20" t="s">
        <v>47</v>
      </c>
      <c r="B29" s="8">
        <f t="shared" si="3"/>
        <v>18</v>
      </c>
      <c r="C29" s="8"/>
      <c r="D29" s="11">
        <f t="shared" si="4"/>
        <v>78164.21209406358</v>
      </c>
      <c r="E29" s="12">
        <f t="shared" si="5"/>
        <v>33.377608757922985</v>
      </c>
      <c r="F29" s="12">
        <f t="shared" si="10"/>
        <v>24.11100414467057</v>
      </c>
      <c r="G29" s="13">
        <f t="shared" si="11"/>
        <v>3126.4084766568103</v>
      </c>
      <c r="H29" s="11">
        <f t="shared" si="0"/>
        <v>2188.5979386337804</v>
      </c>
      <c r="I29" s="11">
        <f t="shared" si="9"/>
        <v>1633.1317818085267</v>
      </c>
      <c r="J29" s="11">
        <f t="shared" si="1"/>
        <v>0</v>
      </c>
      <c r="K29" s="11">
        <f t="shared" si="8"/>
        <v>1719.612666069399</v>
      </c>
      <c r="L29" s="11">
        <f t="shared" si="2"/>
        <v>81516.956541941501</v>
      </c>
      <c r="M29" s="17">
        <v>28321.182787802092</v>
      </c>
      <c r="N29" s="11">
        <f>MIN(M29,I28)</f>
        <v>2133.3559305606518</v>
      </c>
      <c r="O29" s="11">
        <f>M29-N29</f>
        <v>26187.826857241442</v>
      </c>
      <c r="P29" s="13">
        <f>O29/E29</f>
        <v>784.59266052200712</v>
      </c>
      <c r="Q29" s="11">
        <f>(E29-F29)*P29</f>
        <v>7270.5099675172169</v>
      </c>
      <c r="R29" s="11">
        <f>Q29*$J$4</f>
        <v>1577.7006629512362</v>
      </c>
      <c r="S29" s="11">
        <f>M29-R29</f>
        <v>26743.482124850856</v>
      </c>
    </row>
    <row r="30" spans="1:19" x14ac:dyDescent="0.25">
      <c r="A30" s="20" t="s">
        <v>47</v>
      </c>
      <c r="B30" s="8">
        <f t="shared" si="3"/>
        <v>19</v>
      </c>
      <c r="C30" s="8"/>
      <c r="D30" s="11">
        <f t="shared" si="4"/>
        <v>53195.773754139416</v>
      </c>
      <c r="E30" s="12">
        <f t="shared" si="5"/>
        <v>34.111916150597288</v>
      </c>
      <c r="F30" s="12">
        <f t="shared" si="10"/>
        <v>24.11100414467057</v>
      </c>
      <c r="G30" s="13">
        <f t="shared" si="11"/>
        <v>3126.4084766568103</v>
      </c>
      <c r="H30" s="11">
        <f t="shared" si="0"/>
        <v>1489.4816651159038</v>
      </c>
      <c r="I30" s="11">
        <f t="shared" si="9"/>
        <v>1111.4512185094873</v>
      </c>
      <c r="J30" s="11">
        <f t="shared" si="1"/>
        <v>0</v>
      </c>
      <c r="K30" s="11">
        <f t="shared" si="8"/>
        <v>1170.3070225910674</v>
      </c>
      <c r="L30" s="11">
        <f t="shared" si="2"/>
        <v>55477.531995239973</v>
      </c>
      <c r="M30" s="11">
        <f>M29</f>
        <v>28321.182787802092</v>
      </c>
      <c r="N30" s="11">
        <f t="shared" ref="N30:N32" si="12">MIN(M30,I29)</f>
        <v>1633.1317818085267</v>
      </c>
      <c r="O30" s="11">
        <f t="shared" ref="O30:O32" si="13">M30-N30</f>
        <v>26688.051005993566</v>
      </c>
      <c r="P30" s="13">
        <f>O30/E30</f>
        <v>782.36739584405518</v>
      </c>
      <c r="Q30" s="11">
        <f>(E30-F30)*P30</f>
        <v>7824.3874821424324</v>
      </c>
      <c r="R30" s="11">
        <f>Q30*$J$4</f>
        <v>1697.8920836249079</v>
      </c>
      <c r="S30" s="11">
        <f t="shared" ref="S30:S32" si="14">M30-R30</f>
        <v>26623.290704177183</v>
      </c>
    </row>
    <row r="31" spans="1:19" x14ac:dyDescent="0.25">
      <c r="A31" s="20" t="s">
        <v>47</v>
      </c>
      <c r="B31" s="8">
        <f t="shared" si="3"/>
        <v>20</v>
      </c>
      <c r="C31" s="8"/>
      <c r="D31" s="11">
        <f t="shared" si="4"/>
        <v>27156.349207437881</v>
      </c>
      <c r="E31" s="12">
        <f t="shared" si="5"/>
        <v>34.862378305910433</v>
      </c>
      <c r="F31" s="12">
        <f t="shared" si="10"/>
        <v>24.11100414467057</v>
      </c>
      <c r="G31" s="13">
        <f t="shared" si="11"/>
        <v>3126.4084766568103</v>
      </c>
      <c r="H31" s="11">
        <f t="shared" si="0"/>
        <v>760.3777778082607</v>
      </c>
      <c r="I31" s="11">
        <f t="shared" si="9"/>
        <v>567.39389780052409</v>
      </c>
      <c r="J31" s="11">
        <f t="shared" si="1"/>
        <v>0</v>
      </c>
      <c r="K31" s="11">
        <f t="shared" si="8"/>
        <v>597.43968256363348</v>
      </c>
      <c r="L31" s="11">
        <f t="shared" si="2"/>
        <v>28321.182787802038</v>
      </c>
      <c r="M31" s="11">
        <f>M30</f>
        <v>28321.182787802092</v>
      </c>
      <c r="N31" s="11">
        <f t="shared" si="12"/>
        <v>1111.4512185094873</v>
      </c>
      <c r="O31" s="11">
        <f t="shared" si="13"/>
        <v>27209.731569292606</v>
      </c>
      <c r="P31" s="13">
        <f>O31/E31</f>
        <v>780.48982575235186</v>
      </c>
      <c r="Q31" s="11">
        <f>(E31-F31)*P31</f>
        <v>8391.3381457044379</v>
      </c>
      <c r="R31" s="11">
        <f>Q31*$J$4</f>
        <v>1820.9203776178631</v>
      </c>
      <c r="S31" s="11">
        <f t="shared" si="14"/>
        <v>26500.26241018423</v>
      </c>
    </row>
    <row r="32" spans="1:19" x14ac:dyDescent="0.25">
      <c r="A32" s="20" t="s">
        <v>47</v>
      </c>
      <c r="B32" s="8">
        <f t="shared" si="3"/>
        <v>21</v>
      </c>
      <c r="C32" s="8"/>
      <c r="D32" s="11">
        <f t="shared" si="4"/>
        <v>-5.4569682106375694E-11</v>
      </c>
      <c r="E32" s="12">
        <f t="shared" si="5"/>
        <v>35.629350628640459</v>
      </c>
      <c r="F32" s="12">
        <f t="shared" si="10"/>
        <v>24.11100414467057</v>
      </c>
      <c r="G32" s="13">
        <f t="shared" si="11"/>
        <v>3126.4084766568103</v>
      </c>
      <c r="H32" s="11">
        <f t="shared" si="0"/>
        <v>-1.5279510989785194E-12</v>
      </c>
      <c r="I32" s="11">
        <f t="shared" si="9"/>
        <v>-1.1401571100577711E-12</v>
      </c>
      <c r="J32" s="11">
        <f t="shared" si="1"/>
        <v>-1.1401571100577711E-12</v>
      </c>
      <c r="K32" s="11">
        <f t="shared" si="8"/>
        <v>-1.2005330063402653E-12</v>
      </c>
      <c r="L32" s="11">
        <f t="shared" si="2"/>
        <v>-5.6910372222773732E-11</v>
      </c>
      <c r="M32" s="11">
        <f>M31</f>
        <v>28321.182787802092</v>
      </c>
      <c r="N32" s="11">
        <f t="shared" si="12"/>
        <v>567.39389780052409</v>
      </c>
      <c r="O32" s="11">
        <f t="shared" si="13"/>
        <v>27753.788890001568</v>
      </c>
      <c r="P32" s="13">
        <f>O32/E32</f>
        <v>778.95859453839819</v>
      </c>
      <c r="Q32" s="11">
        <f>(E32-F32)*P32</f>
        <v>8972.3149885594848</v>
      </c>
      <c r="R32" s="11">
        <f>Q32*$J$4</f>
        <v>1946.9923525174081</v>
      </c>
      <c r="S32" s="11">
        <f t="shared" si="14"/>
        <v>26374.190435284683</v>
      </c>
    </row>
    <row r="33" spans="1:48" x14ac:dyDescent="0.25">
      <c r="A33" s="1" t="s">
        <v>56</v>
      </c>
      <c r="B33" s="3"/>
      <c r="C33" s="3">
        <f>SUM(C11:C32)</f>
        <v>50000</v>
      </c>
      <c r="D33" s="3"/>
      <c r="E33" s="3"/>
      <c r="F33" s="3"/>
      <c r="G33" s="3"/>
      <c r="H33" s="3">
        <f>SUM(H11:H32)</f>
        <v>41310.882561357226</v>
      </c>
      <c r="I33" s="3">
        <f>SUM(I11:I32)</f>
        <v>30826.180567284755</v>
      </c>
      <c r="J33" s="3"/>
      <c r="K33" s="3">
        <f>SUM(K11:K32)</f>
        <v>32458.550583923537</v>
      </c>
      <c r="L33" s="3"/>
      <c r="M33" s="3"/>
      <c r="N33" s="3"/>
      <c r="O33" s="3"/>
      <c r="P33" s="5"/>
      <c r="Q33" s="3"/>
      <c r="R33" s="3">
        <f>SUM(R11:R32)</f>
        <v>7043.5054767114152</v>
      </c>
      <c r="S33" s="3">
        <f>SUM(S11:S32)</f>
        <v>106241.22567449696</v>
      </c>
      <c r="U33" s="1" t="s">
        <v>56</v>
      </c>
      <c r="W33" s="3">
        <f>SUM(W11:W32)</f>
        <v>0</v>
      </c>
      <c r="X33" s="3">
        <f>SUM(X11:X32)</f>
        <v>0</v>
      </c>
      <c r="Y33" s="3"/>
      <c r="Z33" s="3"/>
      <c r="AA33" s="3"/>
      <c r="AB33" s="6"/>
      <c r="AC33" s="6"/>
      <c r="AD33" s="5"/>
      <c r="AE33" s="3">
        <f>SUM(AE11:AE32)</f>
        <v>0</v>
      </c>
      <c r="AF33" s="3"/>
      <c r="AG33" s="3"/>
      <c r="AH33" s="3">
        <f>SUM(AH11:AH32)</f>
        <v>0</v>
      </c>
      <c r="AI33" s="3"/>
      <c r="AJ33" s="3"/>
      <c r="AS33" s="3">
        <f>SUM(AS11:AS32)</f>
        <v>0</v>
      </c>
      <c r="AT33" s="3">
        <f>SUM(AT11:AT32)</f>
        <v>0</v>
      </c>
      <c r="AV33" s="3"/>
    </row>
    <row r="34" spans="1:48" x14ac:dyDescent="0.25">
      <c r="A34" s="1" t="s">
        <v>62</v>
      </c>
      <c r="C34" s="3">
        <f>SUM(C11:C28)</f>
        <v>50000</v>
      </c>
      <c r="D34" s="3"/>
      <c r="G34" s="5"/>
      <c r="H34" s="3">
        <f>SUM(H11:H28)</f>
        <v>36872.425179799284</v>
      </c>
      <c r="I34" s="3">
        <f>SUM(I11:I28)</f>
        <v>27514.203669166218</v>
      </c>
      <c r="K34" s="3">
        <f>SUM(K11:K28)</f>
        <v>28971.191212699439</v>
      </c>
      <c r="R34" s="3">
        <f>SUM(R11:R28)</f>
        <v>0</v>
      </c>
      <c r="S34" s="3">
        <f>SUM(S11:S28)</f>
        <v>0</v>
      </c>
      <c r="U34" s="1" t="s">
        <v>62</v>
      </c>
      <c r="W34" s="3">
        <f>SUM(W11:W28)</f>
        <v>0</v>
      </c>
      <c r="X34" s="3">
        <f>SUM(X11:X28)</f>
        <v>0</v>
      </c>
      <c r="Y34" s="3"/>
      <c r="Z34" s="3"/>
      <c r="AA34" s="3"/>
      <c r="AB34" s="6"/>
      <c r="AC34" s="6"/>
      <c r="AD34" s="5"/>
      <c r="AE34" s="3">
        <f>SUM(AE11:AE28)</f>
        <v>0</v>
      </c>
      <c r="AF34" s="3"/>
      <c r="AG34" s="3"/>
      <c r="AH34" s="3">
        <f>SUM(AH11:AH28)</f>
        <v>0</v>
      </c>
      <c r="AI34" s="3"/>
      <c r="AJ34" s="3"/>
      <c r="AS34" s="3">
        <f>SUM(AS11:AS28)</f>
        <v>0</v>
      </c>
      <c r="AT34" s="3">
        <f>SUM(AT11:AT28)</f>
        <v>0</v>
      </c>
      <c r="AV34" s="3"/>
    </row>
    <row r="35" spans="1:48" x14ac:dyDescent="0.25">
      <c r="A35" s="1" t="s">
        <v>47</v>
      </c>
      <c r="C35" s="3">
        <f>SUM(C29:C32)</f>
        <v>0</v>
      </c>
      <c r="D35" s="3"/>
      <c r="G35" s="5"/>
      <c r="H35" s="3">
        <f>SUM(H29:H32)</f>
        <v>4438.4573815579424</v>
      </c>
      <c r="I35" s="3">
        <f>SUM(I29:I32)</f>
        <v>3311.9768981185366</v>
      </c>
      <c r="K35" s="3">
        <f>SUM(K29:K32)</f>
        <v>3487.3593712240986</v>
      </c>
      <c r="R35" s="3">
        <f>SUM(R29:R32)</f>
        <v>7043.5054767114152</v>
      </c>
      <c r="S35" s="3">
        <f>SUM(S29:S32)</f>
        <v>106241.22567449696</v>
      </c>
      <c r="U35" s="1" t="s">
        <v>47</v>
      </c>
      <c r="W35" s="3">
        <f>SUM(W29:W32)</f>
        <v>0</v>
      </c>
      <c r="X35" s="3">
        <f>SUM(X29:X32)</f>
        <v>0</v>
      </c>
      <c r="AD35" s="5"/>
      <c r="AE35" s="3">
        <f>SUM(AE29:AE32)</f>
        <v>0</v>
      </c>
      <c r="AH35" s="3">
        <f>SUM(AH29:AH32)</f>
        <v>0</v>
      </c>
      <c r="AS35" s="3">
        <f>SUM(AS29:AS32)</f>
        <v>0</v>
      </c>
      <c r="AT35" s="3">
        <f>SUM(AT29:AT32)</f>
        <v>0</v>
      </c>
      <c r="AV35" s="3">
        <f>AT35+S35</f>
        <v>106241.22567449696</v>
      </c>
    </row>
    <row r="36" spans="1:48" x14ac:dyDescent="0.2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5"/>
      <c r="Q36" s="3"/>
      <c r="R36" s="3"/>
      <c r="S36" s="3"/>
      <c r="AV36" s="3"/>
    </row>
    <row r="37" spans="1:48" x14ac:dyDescent="0.25">
      <c r="D37" s="3"/>
      <c r="G37" s="5"/>
    </row>
    <row r="38" spans="1:48" s="7" customFormat="1" ht="45" x14ac:dyDescent="0.25">
      <c r="A38" s="19" t="s">
        <v>13</v>
      </c>
      <c r="G38" s="16"/>
      <c r="M38" s="16"/>
      <c r="W38" s="10" t="s">
        <v>23</v>
      </c>
      <c r="X38" s="10" t="s">
        <v>24</v>
      </c>
      <c r="Y38" s="10" t="s">
        <v>22</v>
      </c>
      <c r="Z38" s="10" t="s">
        <v>25</v>
      </c>
      <c r="AA38" s="10" t="s">
        <v>26</v>
      </c>
      <c r="AB38" s="10" t="s">
        <v>29</v>
      </c>
      <c r="AC38" s="10" t="s">
        <v>9</v>
      </c>
      <c r="AD38" s="10" t="s">
        <v>11</v>
      </c>
      <c r="AE38" s="10" t="s">
        <v>4</v>
      </c>
      <c r="AF38" s="10" t="s">
        <v>6</v>
      </c>
      <c r="AG38" s="10" t="s">
        <v>32</v>
      </c>
      <c r="AH38" s="10" t="s">
        <v>5</v>
      </c>
      <c r="AI38" s="10" t="s">
        <v>46</v>
      </c>
      <c r="AJ38" s="10" t="s">
        <v>19</v>
      </c>
      <c r="AK38" s="10" t="s">
        <v>27</v>
      </c>
      <c r="AL38" s="10" t="s">
        <v>28</v>
      </c>
      <c r="AM38" s="10" t="s">
        <v>30</v>
      </c>
      <c r="AN38" s="10" t="s">
        <v>31</v>
      </c>
      <c r="AO38" s="10" t="s">
        <v>21</v>
      </c>
      <c r="AP38" s="10" t="s">
        <v>18</v>
      </c>
      <c r="AQ38" s="10" t="s">
        <v>17</v>
      </c>
      <c r="AR38" s="10" t="s">
        <v>14</v>
      </c>
      <c r="AS38" s="10" t="s">
        <v>54</v>
      </c>
      <c r="AT38" s="10" t="s">
        <v>20</v>
      </c>
    </row>
    <row r="39" spans="1:48" x14ac:dyDescent="0.25">
      <c r="P39" s="5"/>
      <c r="V39" s="1">
        <v>0</v>
      </c>
      <c r="W39" s="3">
        <v>50000</v>
      </c>
      <c r="X39" s="3">
        <f>MIN(W39*20%,500)</f>
        <v>500</v>
      </c>
      <c r="Y39" s="3">
        <f>W39+X39</f>
        <v>50500</v>
      </c>
      <c r="Z39" s="3">
        <f>W39</f>
        <v>50000</v>
      </c>
      <c r="AA39" s="3">
        <f>Y39-Z39</f>
        <v>500</v>
      </c>
      <c r="AB39" s="6">
        <v>22.56</v>
      </c>
      <c r="AC39" s="6"/>
      <c r="AD39" s="5">
        <f>Y39/AB39</f>
        <v>2238.4751773049647</v>
      </c>
      <c r="AE39" s="3">
        <f>Y39*$E$2</f>
        <v>1414</v>
      </c>
      <c r="AF39" s="3"/>
      <c r="AG39" s="3">
        <f>AE39-AM40</f>
        <v>1414</v>
      </c>
      <c r="AH39" s="3">
        <f t="shared" ref="AH39:AH60" si="15">Y39*$E$3</f>
        <v>1111</v>
      </c>
      <c r="AI39" s="3">
        <f>Y39+AE39+AH39</f>
        <v>53025</v>
      </c>
    </row>
    <row r="40" spans="1:48" x14ac:dyDescent="0.25">
      <c r="V40" s="1">
        <f>V39+1</f>
        <v>1</v>
      </c>
      <c r="Y40" s="3">
        <f>AB40*AD40</f>
        <v>53025</v>
      </c>
      <c r="Z40" s="3">
        <f>W40+Z39-AK40</f>
        <v>50000</v>
      </c>
      <c r="AA40" s="3">
        <f>Y40-Z40</f>
        <v>3025</v>
      </c>
      <c r="AB40" s="6">
        <f>AB39*(1+$E$3)</f>
        <v>23.056319999999999</v>
      </c>
      <c r="AC40" s="6"/>
      <c r="AD40" s="5">
        <f>AD39+AG39/AB40+W40/AB40+X40/AB40-AK40/AB40-AN40/AB40</f>
        <v>2299.8032643544157</v>
      </c>
      <c r="AE40" s="3">
        <f>Y40*$E$2</f>
        <v>1484.7</v>
      </c>
      <c r="AF40" s="3"/>
      <c r="AG40" s="3">
        <f t="shared" ref="AG40:AG47" si="16">AE40-AM41</f>
        <v>1484.7</v>
      </c>
      <c r="AH40" s="3">
        <f t="shared" si="15"/>
        <v>1166.5500000000002</v>
      </c>
      <c r="AI40" s="3">
        <f t="shared" ref="AI40:AI60" si="17">Y40+AE40+AH40</f>
        <v>55676.25</v>
      </c>
    </row>
    <row r="41" spans="1:48" x14ac:dyDescent="0.25">
      <c r="V41" s="1">
        <f t="shared" ref="V41:V60" si="18">V40+1</f>
        <v>2</v>
      </c>
      <c r="Y41" s="3">
        <f t="shared" ref="Y41:Y60" si="19">AB41*AD41</f>
        <v>55676.25</v>
      </c>
      <c r="Z41" s="3">
        <f t="shared" ref="Z41:Z57" si="20">W41+Z40-AK41</f>
        <v>50000</v>
      </c>
      <c r="AA41" s="3">
        <f t="shared" ref="AA41:AA56" si="21">Y41-Z41</f>
        <v>5676.25</v>
      </c>
      <c r="AB41" s="6">
        <f t="shared" ref="AB41:AB55" si="22">AB40*(1+$E$3)</f>
        <v>23.563559040000001</v>
      </c>
      <c r="AC41" s="6"/>
      <c r="AD41" s="5">
        <f t="shared" ref="AD41:AD60" si="23">AD40+AG40/AB41+W41/AB41+X41/AB41-AK41/AB41-AN41/AB41</f>
        <v>2362.8115729668652</v>
      </c>
      <c r="AE41" s="3">
        <f t="shared" ref="AE41:AE60" si="24">Y41*$E$2</f>
        <v>1558.9349999999999</v>
      </c>
      <c r="AF41" s="3"/>
      <c r="AG41" s="3">
        <f t="shared" si="16"/>
        <v>1558.9349999999999</v>
      </c>
      <c r="AH41" s="3">
        <f t="shared" si="15"/>
        <v>1224.8775000000001</v>
      </c>
      <c r="AI41" s="3">
        <f t="shared" si="17"/>
        <v>58460.0625</v>
      </c>
    </row>
    <row r="42" spans="1:48" x14ac:dyDescent="0.25">
      <c r="V42" s="1">
        <f t="shared" si="18"/>
        <v>3</v>
      </c>
      <c r="Y42" s="3">
        <f t="shared" si="19"/>
        <v>58460.0625</v>
      </c>
      <c r="Z42" s="3">
        <f t="shared" si="20"/>
        <v>50000</v>
      </c>
      <c r="AA42" s="3">
        <f t="shared" si="21"/>
        <v>8460.0625</v>
      </c>
      <c r="AB42" s="6">
        <f t="shared" si="22"/>
        <v>24.081957338880002</v>
      </c>
      <c r="AC42" s="6"/>
      <c r="AD42" s="5">
        <f t="shared" si="23"/>
        <v>2427.5461366097929</v>
      </c>
      <c r="AE42" s="3">
        <f t="shared" si="24"/>
        <v>1636.88175</v>
      </c>
      <c r="AF42" s="3"/>
      <c r="AG42" s="3">
        <f t="shared" si="16"/>
        <v>1636.88175</v>
      </c>
      <c r="AH42" s="3">
        <f t="shared" si="15"/>
        <v>1286.1213750000002</v>
      </c>
      <c r="AI42" s="3">
        <f t="shared" si="17"/>
        <v>61383.065625000003</v>
      </c>
    </row>
    <row r="43" spans="1:48" x14ac:dyDescent="0.25">
      <c r="V43" s="1">
        <f t="shared" si="18"/>
        <v>4</v>
      </c>
      <c r="Y43" s="3">
        <f t="shared" si="19"/>
        <v>61383.06562500001</v>
      </c>
      <c r="Z43" s="3">
        <f t="shared" si="20"/>
        <v>50000</v>
      </c>
      <c r="AA43" s="3">
        <f t="shared" si="21"/>
        <v>11383.06562500001</v>
      </c>
      <c r="AB43" s="6">
        <f t="shared" si="22"/>
        <v>24.611760400335363</v>
      </c>
      <c r="AC43" s="6"/>
      <c r="AD43" s="5">
        <f t="shared" si="23"/>
        <v>2494.0542499415683</v>
      </c>
      <c r="AE43" s="3">
        <f t="shared" si="24"/>
        <v>1718.7258375000004</v>
      </c>
      <c r="AF43" s="3"/>
      <c r="AG43" s="3">
        <f t="shared" si="16"/>
        <v>1718.7258375000004</v>
      </c>
      <c r="AH43" s="3">
        <f t="shared" si="15"/>
        <v>1350.4274437500003</v>
      </c>
      <c r="AI43" s="3">
        <f t="shared" si="17"/>
        <v>64452.218906250011</v>
      </c>
    </row>
    <row r="44" spans="1:48" x14ac:dyDescent="0.25">
      <c r="V44" s="1">
        <f t="shared" si="18"/>
        <v>5</v>
      </c>
      <c r="Y44" s="3">
        <f t="shared" si="19"/>
        <v>64452.218906250004</v>
      </c>
      <c r="Z44" s="3">
        <f t="shared" si="20"/>
        <v>50000</v>
      </c>
      <c r="AA44" s="3">
        <f t="shared" si="21"/>
        <v>14452.218906250004</v>
      </c>
      <c r="AB44" s="6">
        <f t="shared" si="22"/>
        <v>25.153219129142741</v>
      </c>
      <c r="AC44" s="6"/>
      <c r="AD44" s="5">
        <f t="shared" si="23"/>
        <v>2562.3845033646248</v>
      </c>
      <c r="AE44" s="3">
        <f t="shared" si="24"/>
        <v>1804.6621293750002</v>
      </c>
      <c r="AF44" s="3"/>
      <c r="AG44" s="3">
        <f t="shared" si="16"/>
        <v>1804.6621293750002</v>
      </c>
      <c r="AH44" s="3">
        <f t="shared" si="15"/>
        <v>1417.9488159375003</v>
      </c>
      <c r="AI44" s="3">
        <f t="shared" si="17"/>
        <v>67674.829851562507</v>
      </c>
    </row>
    <row r="45" spans="1:48" x14ac:dyDescent="0.25">
      <c r="V45" s="1">
        <f t="shared" si="18"/>
        <v>6</v>
      </c>
      <c r="Y45" s="3">
        <f t="shared" si="19"/>
        <v>67674.829851562507</v>
      </c>
      <c r="Z45" s="3">
        <f t="shared" si="20"/>
        <v>50000</v>
      </c>
      <c r="AA45" s="3">
        <f t="shared" si="21"/>
        <v>17674.829851562507</v>
      </c>
      <c r="AB45" s="6">
        <f t="shared" si="22"/>
        <v>25.706589949983883</v>
      </c>
      <c r="AC45" s="6"/>
      <c r="AD45" s="5">
        <f t="shared" si="23"/>
        <v>2632.5868185252993</v>
      </c>
      <c r="AE45" s="3">
        <f t="shared" si="24"/>
        <v>1894.8952358437502</v>
      </c>
      <c r="AF45" s="3"/>
      <c r="AG45" s="3">
        <f t="shared" si="16"/>
        <v>1894.8952358437502</v>
      </c>
      <c r="AH45" s="3">
        <f t="shared" si="15"/>
        <v>1488.8462567343754</v>
      </c>
      <c r="AI45" s="3">
        <f t="shared" si="17"/>
        <v>71058.571344140641</v>
      </c>
    </row>
    <row r="46" spans="1:48" x14ac:dyDescent="0.25">
      <c r="V46" s="1">
        <f t="shared" si="18"/>
        <v>7</v>
      </c>
      <c r="Y46" s="3">
        <f t="shared" si="19"/>
        <v>71058.571344140626</v>
      </c>
      <c r="Z46" s="3">
        <f t="shared" si="20"/>
        <v>50000</v>
      </c>
      <c r="AA46" s="3">
        <f t="shared" si="21"/>
        <v>21058.571344140626</v>
      </c>
      <c r="AB46" s="6">
        <f t="shared" si="22"/>
        <v>26.272134928883528</v>
      </c>
      <c r="AC46" s="6"/>
      <c r="AD46" s="5">
        <f t="shared" si="23"/>
        <v>2704.7124847862665</v>
      </c>
      <c r="AE46" s="3">
        <f t="shared" si="24"/>
        <v>1989.6399976359376</v>
      </c>
      <c r="AF46" s="3"/>
      <c r="AG46" s="3">
        <f t="shared" si="16"/>
        <v>1989.6399976359376</v>
      </c>
      <c r="AH46" s="3">
        <f t="shared" si="15"/>
        <v>1563.2885695710938</v>
      </c>
      <c r="AI46" s="3">
        <f t="shared" si="17"/>
        <v>74611.499911347666</v>
      </c>
    </row>
    <row r="47" spans="1:48" x14ac:dyDescent="0.25">
      <c r="V47" s="1">
        <f t="shared" si="18"/>
        <v>8</v>
      </c>
      <c r="Y47" s="3">
        <f t="shared" si="19"/>
        <v>74611.499911347666</v>
      </c>
      <c r="Z47" s="3">
        <f t="shared" si="20"/>
        <v>50000</v>
      </c>
      <c r="AA47" s="3">
        <f t="shared" si="21"/>
        <v>24611.499911347666</v>
      </c>
      <c r="AB47" s="6">
        <f t="shared" si="22"/>
        <v>26.850121897318967</v>
      </c>
      <c r="AC47" s="6"/>
      <c r="AD47" s="5">
        <f t="shared" si="23"/>
        <v>2778.8141966982189</v>
      </c>
      <c r="AE47" s="3">
        <f t="shared" si="24"/>
        <v>2089.1219975177346</v>
      </c>
      <c r="AF47" s="3"/>
      <c r="AG47" s="3">
        <f t="shared" si="16"/>
        <v>2089.1219975177346</v>
      </c>
      <c r="AH47" s="3">
        <f t="shared" si="15"/>
        <v>1641.4529980496488</v>
      </c>
      <c r="AI47" s="3">
        <f t="shared" si="17"/>
        <v>78342.074906915048</v>
      </c>
    </row>
    <row r="48" spans="1:48" x14ac:dyDescent="0.25">
      <c r="V48" s="1">
        <f t="shared" si="18"/>
        <v>9</v>
      </c>
      <c r="Y48" s="3">
        <f t="shared" si="19"/>
        <v>78342.074906915048</v>
      </c>
      <c r="Z48" s="3">
        <f t="shared" si="20"/>
        <v>50000</v>
      </c>
      <c r="AA48" s="3">
        <f t="shared" si="21"/>
        <v>28342.074906915048</v>
      </c>
      <c r="AB48" s="6">
        <f t="shared" si="22"/>
        <v>27.440824579059985</v>
      </c>
      <c r="AC48" s="6"/>
      <c r="AD48" s="5">
        <f t="shared" si="23"/>
        <v>2854.9460924981699</v>
      </c>
      <c r="AE48" s="3">
        <f t="shared" si="24"/>
        <v>2193.5780973936212</v>
      </c>
      <c r="AF48" s="3"/>
      <c r="AG48" s="3">
        <f>AE48-AM49</f>
        <v>2193.5780973936212</v>
      </c>
      <c r="AH48" s="3">
        <f t="shared" si="15"/>
        <v>1723.5256479521313</v>
      </c>
      <c r="AI48" s="3">
        <f t="shared" si="17"/>
        <v>82259.178652260802</v>
      </c>
    </row>
    <row r="49" spans="1:48" x14ac:dyDescent="0.25">
      <c r="V49" s="1">
        <f t="shared" si="18"/>
        <v>10</v>
      </c>
      <c r="Y49" s="3">
        <f t="shared" si="19"/>
        <v>82259.178652260787</v>
      </c>
      <c r="Z49" s="3">
        <f t="shared" si="20"/>
        <v>50000</v>
      </c>
      <c r="AA49" s="3">
        <f t="shared" si="21"/>
        <v>32259.178652260787</v>
      </c>
      <c r="AB49" s="6">
        <f t="shared" si="22"/>
        <v>28.044522719799303</v>
      </c>
      <c r="AC49" s="6"/>
      <c r="AD49" s="5">
        <f t="shared" si="23"/>
        <v>2933.1637936625034</v>
      </c>
      <c r="AE49" s="3">
        <f t="shared" si="24"/>
        <v>2303.2570022633022</v>
      </c>
      <c r="AF49" s="3"/>
      <c r="AG49" s="3">
        <f t="shared" ref="AG49:AG55" si="25">AE49-AM50</f>
        <v>2303.2570022633022</v>
      </c>
      <c r="AH49" s="3">
        <f t="shared" si="15"/>
        <v>1809.7019303497375</v>
      </c>
      <c r="AI49" s="3">
        <f t="shared" si="17"/>
        <v>86372.137584873824</v>
      </c>
    </row>
    <row r="50" spans="1:48" x14ac:dyDescent="0.25">
      <c r="V50" s="1">
        <f t="shared" si="18"/>
        <v>11</v>
      </c>
      <c r="Y50" s="3">
        <f t="shared" si="19"/>
        <v>86372.137584873839</v>
      </c>
      <c r="Z50" s="3">
        <f t="shared" si="20"/>
        <v>50000</v>
      </c>
      <c r="AA50" s="3">
        <f t="shared" si="21"/>
        <v>36372.137584873839</v>
      </c>
      <c r="AB50" s="6">
        <f t="shared" si="22"/>
        <v>28.66150221963489</v>
      </c>
      <c r="AC50" s="6"/>
      <c r="AD50" s="5">
        <f t="shared" si="23"/>
        <v>3013.5244455436678</v>
      </c>
      <c r="AE50" s="3">
        <f t="shared" si="24"/>
        <v>2418.4198523764676</v>
      </c>
      <c r="AF50" s="3"/>
      <c r="AG50" s="3">
        <f t="shared" si="25"/>
        <v>2418.4198523764676</v>
      </c>
      <c r="AH50" s="3">
        <f t="shared" si="15"/>
        <v>1900.1870268672246</v>
      </c>
      <c r="AI50" s="3">
        <f t="shared" si="17"/>
        <v>90690.744464117524</v>
      </c>
    </row>
    <row r="51" spans="1:48" x14ac:dyDescent="0.25">
      <c r="V51" s="1">
        <f t="shared" si="18"/>
        <v>12</v>
      </c>
      <c r="Y51" s="3">
        <f t="shared" si="19"/>
        <v>90690.744464117524</v>
      </c>
      <c r="Z51" s="3">
        <f t="shared" si="20"/>
        <v>50000</v>
      </c>
      <c r="AA51" s="3">
        <f t="shared" si="21"/>
        <v>40690.744464117524</v>
      </c>
      <c r="AB51" s="6">
        <f t="shared" si="22"/>
        <v>29.292055268466857</v>
      </c>
      <c r="AC51" s="6"/>
      <c r="AD51" s="5">
        <f t="shared" si="23"/>
        <v>3096.0867591202068</v>
      </c>
      <c r="AE51" s="3">
        <f t="shared" si="24"/>
        <v>2539.3408449952908</v>
      </c>
      <c r="AF51" s="3"/>
      <c r="AG51" s="3">
        <f t="shared" si="25"/>
        <v>2539.3408449952908</v>
      </c>
      <c r="AH51" s="3">
        <f t="shared" si="15"/>
        <v>1995.1963782105856</v>
      </c>
      <c r="AI51" s="3">
        <f t="shared" si="17"/>
        <v>95225.281687323397</v>
      </c>
    </row>
    <row r="52" spans="1:48" x14ac:dyDescent="0.25">
      <c r="V52" s="1">
        <f t="shared" si="18"/>
        <v>13</v>
      </c>
      <c r="Y52" s="3">
        <f t="shared" si="19"/>
        <v>95225.281687323411</v>
      </c>
      <c r="Z52" s="3">
        <f t="shared" si="20"/>
        <v>50000</v>
      </c>
      <c r="AA52" s="3">
        <f t="shared" si="21"/>
        <v>45225.281687323411</v>
      </c>
      <c r="AB52" s="6">
        <f t="shared" si="22"/>
        <v>29.936480484373128</v>
      </c>
      <c r="AC52" s="6"/>
      <c r="AD52" s="5">
        <f t="shared" si="23"/>
        <v>3180.9110538906234</v>
      </c>
      <c r="AE52" s="3">
        <f t="shared" si="24"/>
        <v>2666.3078872450556</v>
      </c>
      <c r="AF52" s="3"/>
      <c r="AG52" s="3">
        <f t="shared" si="25"/>
        <v>2666.3078872450556</v>
      </c>
      <c r="AH52" s="3">
        <f t="shared" si="15"/>
        <v>2094.9561971211151</v>
      </c>
      <c r="AI52" s="3">
        <f t="shared" si="17"/>
        <v>99986.545771689591</v>
      </c>
    </row>
    <row r="53" spans="1:48" x14ac:dyDescent="0.25">
      <c r="V53" s="1">
        <f t="shared" si="18"/>
        <v>14</v>
      </c>
      <c r="Y53" s="3">
        <f t="shared" si="19"/>
        <v>99986.545771689591</v>
      </c>
      <c r="Z53" s="3">
        <f t="shared" si="20"/>
        <v>50000</v>
      </c>
      <c r="AA53" s="3">
        <f t="shared" si="21"/>
        <v>49986.545771689591</v>
      </c>
      <c r="AB53" s="6">
        <f t="shared" si="22"/>
        <v>30.595083055029338</v>
      </c>
      <c r="AC53" s="6"/>
      <c r="AD53" s="5">
        <f t="shared" si="23"/>
        <v>3268.0593019424214</v>
      </c>
      <c r="AE53" s="3">
        <f t="shared" si="24"/>
        <v>2799.6232816073084</v>
      </c>
      <c r="AF53" s="3"/>
      <c r="AG53" s="3">
        <f t="shared" si="25"/>
        <v>2799.6232816073084</v>
      </c>
      <c r="AH53" s="3">
        <f t="shared" si="15"/>
        <v>2199.704006977171</v>
      </c>
      <c r="AI53" s="3">
        <f t="shared" si="17"/>
        <v>104985.87306027407</v>
      </c>
    </row>
    <row r="54" spans="1:48" x14ac:dyDescent="0.25">
      <c r="V54" s="1">
        <f t="shared" si="18"/>
        <v>15</v>
      </c>
      <c r="Y54" s="3">
        <f t="shared" si="19"/>
        <v>104985.87306027407</v>
      </c>
      <c r="Z54" s="3">
        <f t="shared" si="20"/>
        <v>50000</v>
      </c>
      <c r="AA54" s="3">
        <f t="shared" si="21"/>
        <v>54985.873060274069</v>
      </c>
      <c r="AB54" s="6">
        <f t="shared" si="22"/>
        <v>31.268174882239983</v>
      </c>
      <c r="AC54" s="6"/>
      <c r="AD54" s="5">
        <f t="shared" si="23"/>
        <v>3357.5951732285153</v>
      </c>
      <c r="AE54" s="3">
        <f t="shared" si="24"/>
        <v>2939.6044456876739</v>
      </c>
      <c r="AF54" s="3"/>
      <c r="AG54" s="3">
        <f t="shared" si="25"/>
        <v>2939.6044456876739</v>
      </c>
      <c r="AH54" s="3">
        <f t="shared" si="15"/>
        <v>2309.6892073260296</v>
      </c>
      <c r="AI54" s="3">
        <f t="shared" si="17"/>
        <v>110235.16671328776</v>
      </c>
    </row>
    <row r="55" spans="1:48" x14ac:dyDescent="0.25">
      <c r="V55" s="1">
        <f t="shared" si="18"/>
        <v>16</v>
      </c>
      <c r="Y55" s="3">
        <f t="shared" si="19"/>
        <v>110235.16671328776</v>
      </c>
      <c r="Z55" s="3">
        <f t="shared" si="20"/>
        <v>50000</v>
      </c>
      <c r="AA55" s="3">
        <f t="shared" si="21"/>
        <v>60235.166713287763</v>
      </c>
      <c r="AB55" s="6">
        <f t="shared" si="22"/>
        <v>31.956074729649263</v>
      </c>
      <c r="AC55" s="6"/>
      <c r="AD55" s="5">
        <f t="shared" si="23"/>
        <v>3449.5840820840908</v>
      </c>
      <c r="AE55" s="3">
        <f t="shared" si="24"/>
        <v>3086.5846679720576</v>
      </c>
      <c r="AF55" s="3"/>
      <c r="AG55" s="3">
        <f t="shared" si="25"/>
        <v>3086.5846679720576</v>
      </c>
      <c r="AH55" s="3">
        <f t="shared" si="15"/>
        <v>2425.173667692331</v>
      </c>
      <c r="AI55" s="3">
        <f t="shared" si="17"/>
        <v>115746.92504895215</v>
      </c>
    </row>
    <row r="56" spans="1:48" x14ac:dyDescent="0.25">
      <c r="V56" s="1">
        <f t="shared" si="18"/>
        <v>17</v>
      </c>
      <c r="Y56" s="3">
        <f t="shared" si="19"/>
        <v>115746.92504895215</v>
      </c>
      <c r="Z56" s="3">
        <f t="shared" si="20"/>
        <v>50000</v>
      </c>
      <c r="AA56" s="3">
        <f t="shared" si="21"/>
        <v>65746.925048952151</v>
      </c>
      <c r="AB56" s="6">
        <f>AB55*(1+$E$3)</f>
        <v>32.65910837370155</v>
      </c>
      <c r="AC56" s="6"/>
      <c r="AD56" s="5">
        <f t="shared" si="23"/>
        <v>3544.0932350179014</v>
      </c>
      <c r="AE56" s="3">
        <f t="shared" si="24"/>
        <v>3240.9139013706604</v>
      </c>
      <c r="AF56" s="3"/>
      <c r="AG56" s="3">
        <f>AE56-AM57</f>
        <v>0</v>
      </c>
      <c r="AH56" s="3">
        <f t="shared" si="15"/>
        <v>2546.4323510769477</v>
      </c>
      <c r="AI56" s="3">
        <f t="shared" si="17"/>
        <v>121534.27130139976</v>
      </c>
    </row>
    <row r="57" spans="1:48" x14ac:dyDescent="0.25">
      <c r="U57" s="20" t="s">
        <v>47</v>
      </c>
      <c r="V57" s="8">
        <f t="shared" si="18"/>
        <v>18</v>
      </c>
      <c r="W57" s="8"/>
      <c r="X57" s="8"/>
      <c r="Y57" s="11">
        <f t="shared" si="19"/>
        <v>88892.268850129141</v>
      </c>
      <c r="Z57" s="11">
        <f t="shared" si="20"/>
        <v>36570.865114120825</v>
      </c>
      <c r="AA57" s="11">
        <f>Y57-Z57</f>
        <v>52321.403736008317</v>
      </c>
      <c r="AB57" s="12">
        <f>AB56*(1+$E$3)</f>
        <v>33.377608757922985</v>
      </c>
      <c r="AC57" s="12"/>
      <c r="AD57" s="13">
        <f t="shared" si="23"/>
        <v>2663.2305955419411</v>
      </c>
      <c r="AE57" s="11">
        <f t="shared" si="24"/>
        <v>2488.9835278036162</v>
      </c>
      <c r="AF57" s="11"/>
      <c r="AG57" s="11">
        <f t="shared" ref="AG57:AG60" si="26">AE57-AM58</f>
        <v>0</v>
      </c>
      <c r="AH57" s="11">
        <f t="shared" si="15"/>
        <v>1955.6299147028412</v>
      </c>
      <c r="AI57" s="11">
        <f t="shared" si="17"/>
        <v>93336.882292635608</v>
      </c>
      <c r="AJ57" s="17">
        <v>32642.002451270637</v>
      </c>
      <c r="AK57" s="11">
        <f>AJ57*(Z56/(Y56+AE56+AH56))</f>
        <v>13429.134885879175</v>
      </c>
      <c r="AL57" s="11">
        <f>AJ57*(AA56+AE56+AH56)/(Y56+AE56+AH56)</f>
        <v>19212.867565391462</v>
      </c>
      <c r="AM57" s="11">
        <f>MIN(AE56,AL57)</f>
        <v>3240.9139013706604</v>
      </c>
      <c r="AN57" s="11">
        <f>AL57-AM57</f>
        <v>15971.953664020801</v>
      </c>
      <c r="AO57" s="8"/>
      <c r="AP57" s="8"/>
      <c r="AQ57" s="13">
        <f>AN57/AB57+AK57/AB57</f>
        <v>880.86263947596058</v>
      </c>
      <c r="AR57" s="8"/>
      <c r="AS57" s="11">
        <f>IF((AL57-$AF$6)&lt;0,0,(AL57-$AF$6)*$AF$5)</f>
        <v>1519.362446860988</v>
      </c>
      <c r="AT57" s="11">
        <f>AJ57-AS57</f>
        <v>31122.640004409648</v>
      </c>
    </row>
    <row r="58" spans="1:48" x14ac:dyDescent="0.25">
      <c r="U58" s="20" t="s">
        <v>47</v>
      </c>
      <c r="V58" s="8">
        <f>V57+1</f>
        <v>19</v>
      </c>
      <c r="W58" s="8"/>
      <c r="X58" s="8"/>
      <c r="Y58" s="11">
        <f t="shared" si="19"/>
        <v>60694.879841364957</v>
      </c>
      <c r="Z58" s="11">
        <f>W58+Z57-AK58</f>
        <v>23781.212841854947</v>
      </c>
      <c r="AA58" s="11">
        <f>Y58-Z58</f>
        <v>36913.666999510009</v>
      </c>
      <c r="AB58" s="12">
        <f>AB57*(1+$E$3)</f>
        <v>34.111916150597288</v>
      </c>
      <c r="AC58" s="12"/>
      <c r="AD58" s="13">
        <f t="shared" si="23"/>
        <v>1779.2867329237442</v>
      </c>
      <c r="AE58" s="11">
        <f t="shared" si="24"/>
        <v>1699.4566355582187</v>
      </c>
      <c r="AF58" s="11"/>
      <c r="AG58" s="11">
        <f t="shared" si="26"/>
        <v>0</v>
      </c>
      <c r="AH58" s="11">
        <f t="shared" si="15"/>
        <v>1335.2873565100292</v>
      </c>
      <c r="AI58" s="11">
        <f t="shared" si="17"/>
        <v>63729.623833433208</v>
      </c>
      <c r="AJ58" s="11">
        <f>AJ57</f>
        <v>32642.002451270637</v>
      </c>
      <c r="AK58" s="11">
        <f>AJ58*(Z57/(Y57+AE57+AH57))</f>
        <v>12789.652272265877</v>
      </c>
      <c r="AL58" s="11">
        <f>AJ58*(AA57+AE57+AH57)/(Y57+AE57+AH57)</f>
        <v>19852.350179004756</v>
      </c>
      <c r="AM58" s="11">
        <f>MIN(AE57,AL58)</f>
        <v>2488.9835278036162</v>
      </c>
      <c r="AN58" s="11">
        <f>AL58-AM58</f>
        <v>17363.36665120114</v>
      </c>
      <c r="AO58" s="8"/>
      <c r="AP58" s="8"/>
      <c r="AQ58" s="13">
        <f>AN58/AB58+AK58/AB58</f>
        <v>883.94386261819682</v>
      </c>
      <c r="AR58" s="8"/>
      <c r="AS58" s="11">
        <f t="shared" ref="AS58:AS60" si="27">IF((AL58-$AF$6)&lt;0,0,(AL58-$AF$6)*$AF$5)</f>
        <v>1647.5787108904535</v>
      </c>
      <c r="AT58" s="11">
        <f>AJ58-AS58</f>
        <v>30994.423740380182</v>
      </c>
    </row>
    <row r="59" spans="1:48" x14ac:dyDescent="0.25">
      <c r="U59" s="20" t="s">
        <v>47</v>
      </c>
      <c r="V59" s="8">
        <f t="shared" si="18"/>
        <v>20</v>
      </c>
      <c r="W59" s="8"/>
      <c r="X59" s="8"/>
      <c r="Y59" s="11">
        <f t="shared" si="19"/>
        <v>31087.621382162572</v>
      </c>
      <c r="Z59" s="11">
        <f t="shared" ref="Z59:Z60" si="28">W59+Z58-AK59</f>
        <v>11600.591630173156</v>
      </c>
      <c r="AA59" s="11">
        <f t="shared" ref="AA59:AA60" si="29">Y59-Z59</f>
        <v>19487.029751989416</v>
      </c>
      <c r="AB59" s="12">
        <f t="shared" ref="AB59:AB60" si="30">AB58*(1+$E$3)</f>
        <v>34.862378305910433</v>
      </c>
      <c r="AC59" s="12"/>
      <c r="AD59" s="13">
        <f t="shared" si="23"/>
        <v>891.72405592569964</v>
      </c>
      <c r="AE59" s="11">
        <f t="shared" si="24"/>
        <v>870.45339870055204</v>
      </c>
      <c r="AF59" s="11"/>
      <c r="AG59" s="11">
        <f t="shared" si="26"/>
        <v>0</v>
      </c>
      <c r="AH59" s="11">
        <f t="shared" si="15"/>
        <v>683.92767040757667</v>
      </c>
      <c r="AI59" s="11">
        <f t="shared" si="17"/>
        <v>32642.002451270702</v>
      </c>
      <c r="AJ59" s="11">
        <f>AJ58</f>
        <v>32642.002451270637</v>
      </c>
      <c r="AK59" s="11">
        <f>AJ59*(Z58/(Y58+AE58+AH58))</f>
        <v>12180.621211681791</v>
      </c>
      <c r="AL59" s="11">
        <f>AJ59*(AA58+AE58+AH58)/(Y58+AE58+AH58)</f>
        <v>20461.381239588845</v>
      </c>
      <c r="AM59" s="11">
        <f t="shared" ref="AM59:AM60" si="31">MIN(AE58,AL59)</f>
        <v>1699.4566355582187</v>
      </c>
      <c r="AN59" s="11">
        <f t="shared" ref="AN59:AN60" si="32">AL59-AM59</f>
        <v>18761.924604030628</v>
      </c>
      <c r="AO59" s="8"/>
      <c r="AP59" s="8"/>
      <c r="AQ59" s="13">
        <f t="shared" ref="AQ59:AQ60" si="33">AN59/AB59+AK59/AB59</f>
        <v>887.56267699804459</v>
      </c>
      <c r="AR59" s="8"/>
      <c r="AS59" s="11">
        <f t="shared" si="27"/>
        <v>1769.6894385375635</v>
      </c>
      <c r="AT59" s="11">
        <f t="shared" ref="AT59:AT60" si="34">AJ59-AS59</f>
        <v>30872.313012733073</v>
      </c>
    </row>
    <row r="60" spans="1:48" x14ac:dyDescent="0.25">
      <c r="U60" s="20" t="s">
        <v>47</v>
      </c>
      <c r="V60" s="8">
        <f t="shared" si="18"/>
        <v>21</v>
      </c>
      <c r="W60" s="8"/>
      <c r="X60" s="8"/>
      <c r="Y60" s="11">
        <f t="shared" si="19"/>
        <v>6.4809411248716896E-11</v>
      </c>
      <c r="Z60" s="11">
        <f t="shared" si="28"/>
        <v>2.3646862246096134E-11</v>
      </c>
      <c r="AA60" s="11">
        <f t="shared" si="29"/>
        <v>4.1162549002620761E-11</v>
      </c>
      <c r="AB60" s="12">
        <f t="shared" si="30"/>
        <v>35.629350628640459</v>
      </c>
      <c r="AC60" s="12"/>
      <c r="AD60" s="13">
        <f t="shared" si="23"/>
        <v>1.8189894035458565E-12</v>
      </c>
      <c r="AE60" s="11">
        <f t="shared" si="24"/>
        <v>1.8146635149640732E-12</v>
      </c>
      <c r="AF60" s="11"/>
      <c r="AG60" s="11">
        <f t="shared" si="26"/>
        <v>1.8146635149640732E-12</v>
      </c>
      <c r="AH60" s="11">
        <f t="shared" si="15"/>
        <v>1.4258070474717718E-12</v>
      </c>
      <c r="AI60" s="11">
        <f t="shared" si="17"/>
        <v>6.8049881811152737E-11</v>
      </c>
      <c r="AJ60" s="11">
        <f>AJ59</f>
        <v>32642.002451270637</v>
      </c>
      <c r="AK60" s="11">
        <f>AJ60*(Z59/(Y59+AE59+AH59))</f>
        <v>11600.591630173132</v>
      </c>
      <c r="AL60" s="11">
        <f>AJ60*(AA59+AE59+AH59)/(Y59+AE59+AH59)</f>
        <v>21041.410821097503</v>
      </c>
      <c r="AM60" s="11">
        <f t="shared" si="31"/>
        <v>870.45339870055204</v>
      </c>
      <c r="AN60" s="11">
        <f t="shared" si="32"/>
        <v>20170.95742239695</v>
      </c>
      <c r="AO60" s="8"/>
      <c r="AP60" s="8"/>
      <c r="AQ60" s="13">
        <f t="shared" si="33"/>
        <v>891.72405592569783</v>
      </c>
      <c r="AR60" s="8"/>
      <c r="AS60" s="11">
        <f t="shared" si="27"/>
        <v>1885.9853696300495</v>
      </c>
      <c r="AT60" s="11">
        <f t="shared" si="34"/>
        <v>30756.017081640588</v>
      </c>
    </row>
    <row r="61" spans="1:48" x14ac:dyDescent="0.25">
      <c r="A61" s="1" t="s">
        <v>56</v>
      </c>
      <c r="B61" s="3"/>
      <c r="C61" s="3">
        <f>SUM(C39:C60)</f>
        <v>0</v>
      </c>
      <c r="D61" s="3"/>
      <c r="E61" s="3"/>
      <c r="F61" s="3"/>
      <c r="G61" s="3"/>
      <c r="H61" s="3">
        <f>SUM(H39:H60)</f>
        <v>0</v>
      </c>
      <c r="I61" s="3">
        <f>SUM(I39:I60)</f>
        <v>0</v>
      </c>
      <c r="J61" s="3"/>
      <c r="K61" s="3">
        <f>SUM(K39:K60)</f>
        <v>0</v>
      </c>
      <c r="L61" s="3"/>
      <c r="M61" s="3"/>
      <c r="N61" s="3"/>
      <c r="O61" s="3"/>
      <c r="P61" s="5"/>
      <c r="Q61" s="3"/>
      <c r="R61" s="3">
        <f>SUM(R39:R60)</f>
        <v>0</v>
      </c>
      <c r="S61" s="3">
        <f>SUM(S39:S60)</f>
        <v>0</v>
      </c>
      <c r="U61" s="1" t="s">
        <v>56</v>
      </c>
      <c r="W61" s="3">
        <f>SUM(W39:W60)</f>
        <v>50000</v>
      </c>
      <c r="X61" s="3">
        <f>SUM(X39:X60)</f>
        <v>500</v>
      </c>
      <c r="Y61" s="3"/>
      <c r="Z61" s="3"/>
      <c r="AA61" s="3"/>
      <c r="AB61" s="6"/>
      <c r="AC61" s="6"/>
      <c r="AD61" s="5"/>
      <c r="AE61" s="3">
        <f>SUM(AE39:AE60)</f>
        <v>44838.08549084625</v>
      </c>
      <c r="AF61" s="3"/>
      <c r="AG61" s="3"/>
      <c r="AH61" s="3">
        <f>SUM(AH39:AH60)</f>
        <v>35229.924314236341</v>
      </c>
      <c r="AI61" s="3"/>
      <c r="AJ61" s="3"/>
      <c r="AS61" s="3">
        <f>SUM(AS39:AS60)</f>
        <v>6822.6159659190553</v>
      </c>
      <c r="AT61" s="3">
        <f>SUM(AT39:AT60)</f>
        <v>123745.39383916349</v>
      </c>
      <c r="AV61" s="3"/>
    </row>
    <row r="62" spans="1:48" x14ac:dyDescent="0.25">
      <c r="A62" s="1" t="s">
        <v>62</v>
      </c>
      <c r="C62" s="3">
        <f>SUM(C39:C56)</f>
        <v>0</v>
      </c>
      <c r="D62" s="3"/>
      <c r="G62" s="5"/>
      <c r="H62" s="3">
        <f>SUM(H39:H56)</f>
        <v>0</v>
      </c>
      <c r="I62" s="3">
        <f>SUM(I39:I56)</f>
        <v>0</v>
      </c>
      <c r="K62" s="3">
        <f>SUM(K39:K56)</f>
        <v>0</v>
      </c>
      <c r="R62" s="3">
        <f>SUM(R39:R56)</f>
        <v>0</v>
      </c>
      <c r="S62" s="3">
        <f>SUM(S39:S56)</f>
        <v>0</v>
      </c>
      <c r="U62" s="1" t="s">
        <v>62</v>
      </c>
      <c r="W62" s="3">
        <f>SUM(W39:W56)</f>
        <v>50000</v>
      </c>
      <c r="X62" s="3">
        <f>SUM(X39:X56)</f>
        <v>500</v>
      </c>
      <c r="Y62" s="3"/>
      <c r="Z62" s="3"/>
      <c r="AA62" s="3"/>
      <c r="AB62" s="6"/>
      <c r="AC62" s="6"/>
      <c r="AD62" s="5"/>
      <c r="AE62" s="3">
        <f>SUM(AE39:AE56)</f>
        <v>39779.191928783861</v>
      </c>
      <c r="AF62" s="3"/>
      <c r="AG62" s="3"/>
      <c r="AH62" s="3">
        <f>SUM(AH39:AH56)</f>
        <v>31255.079372615895</v>
      </c>
      <c r="AI62" s="3"/>
      <c r="AJ62" s="3"/>
      <c r="AS62" s="3">
        <f>SUM(AS39:AS56)</f>
        <v>0</v>
      </c>
      <c r="AT62" s="3">
        <f>SUM(AT39:AT56)</f>
        <v>0</v>
      </c>
      <c r="AV62" s="3"/>
    </row>
    <row r="63" spans="1:48" x14ac:dyDescent="0.25">
      <c r="A63" s="1" t="s">
        <v>47</v>
      </c>
      <c r="C63" s="3">
        <f>SUM(C57:C60)</f>
        <v>0</v>
      </c>
      <c r="D63" s="3"/>
      <c r="G63" s="5"/>
      <c r="H63" s="3">
        <f>SUM(H57:H60)</f>
        <v>0</v>
      </c>
      <c r="I63" s="3">
        <f>SUM(I57:I60)</f>
        <v>0</v>
      </c>
      <c r="K63" s="3">
        <f>SUM(K57:K60)</f>
        <v>0</v>
      </c>
      <c r="R63" s="3">
        <f>SUM(R57:R60)</f>
        <v>0</v>
      </c>
      <c r="S63" s="3">
        <f>SUM(S57:S60)</f>
        <v>0</v>
      </c>
      <c r="U63" s="1" t="s">
        <v>47</v>
      </c>
      <c r="W63" s="3">
        <f>SUM(W57:W60)</f>
        <v>0</v>
      </c>
      <c r="X63" s="3">
        <f>SUM(X57:X60)</f>
        <v>0</v>
      </c>
      <c r="AD63" s="5"/>
      <c r="AE63" s="3">
        <f>SUM(AE57:AE60)</f>
        <v>5058.8935620623888</v>
      </c>
      <c r="AH63" s="3">
        <f>SUM(AH57:AH60)</f>
        <v>3974.844941620448</v>
      </c>
      <c r="AS63" s="3">
        <f>SUM(AS57:AS60)</f>
        <v>6822.6159659190553</v>
      </c>
      <c r="AT63" s="3">
        <f>SUM(AT57:AT60)</f>
        <v>123745.39383916349</v>
      </c>
      <c r="AV63" s="3">
        <f>AT63+S63</f>
        <v>123745.39383916349</v>
      </c>
    </row>
    <row r="64" spans="1:48" x14ac:dyDescent="0.25">
      <c r="AA64" s="3"/>
      <c r="AE64" s="5"/>
    </row>
    <row r="65" spans="1:46" x14ac:dyDescent="0.25">
      <c r="L65" s="3"/>
      <c r="Y65" s="3"/>
      <c r="Z65" s="3"/>
      <c r="AA65" s="3"/>
      <c r="AJ65" s="3"/>
    </row>
    <row r="66" spans="1:46" s="7" customFormat="1" ht="45" x14ac:dyDescent="0.25">
      <c r="A66" s="19" t="s">
        <v>34</v>
      </c>
      <c r="B66" s="10"/>
      <c r="C66" s="10" t="s">
        <v>23</v>
      </c>
      <c r="D66" s="10" t="s">
        <v>22</v>
      </c>
      <c r="E66" s="10" t="s">
        <v>29</v>
      </c>
      <c r="F66" s="10" t="s">
        <v>9</v>
      </c>
      <c r="G66" s="10" t="s">
        <v>11</v>
      </c>
      <c r="H66" s="10" t="s">
        <v>4</v>
      </c>
      <c r="I66" s="10" t="s">
        <v>6</v>
      </c>
      <c r="J66" s="10" t="s">
        <v>32</v>
      </c>
      <c r="K66" s="10" t="s">
        <v>5</v>
      </c>
      <c r="L66" s="10" t="s">
        <v>46</v>
      </c>
      <c r="M66" s="10" t="s">
        <v>19</v>
      </c>
      <c r="N66" s="10" t="s">
        <v>30</v>
      </c>
      <c r="O66" s="10" t="s">
        <v>18</v>
      </c>
      <c r="P66" s="10" t="s">
        <v>17</v>
      </c>
      <c r="Q66" s="10" t="s">
        <v>14</v>
      </c>
      <c r="R66" s="10" t="s">
        <v>54</v>
      </c>
      <c r="S66" s="10" t="s">
        <v>20</v>
      </c>
      <c r="V66" s="10"/>
      <c r="W66" s="10" t="s">
        <v>23</v>
      </c>
      <c r="X66" s="10" t="s">
        <v>24</v>
      </c>
      <c r="Y66" s="10" t="s">
        <v>22</v>
      </c>
      <c r="Z66" s="10" t="s">
        <v>25</v>
      </c>
      <c r="AA66" s="10" t="s">
        <v>26</v>
      </c>
      <c r="AB66" s="10" t="s">
        <v>29</v>
      </c>
      <c r="AC66" s="10" t="s">
        <v>9</v>
      </c>
      <c r="AD66" s="10" t="s">
        <v>11</v>
      </c>
      <c r="AE66" s="10" t="s">
        <v>4</v>
      </c>
      <c r="AF66" s="10" t="s">
        <v>6</v>
      </c>
      <c r="AG66" s="10" t="s">
        <v>32</v>
      </c>
      <c r="AH66" s="10" t="s">
        <v>5</v>
      </c>
      <c r="AI66" s="10" t="s">
        <v>46</v>
      </c>
      <c r="AJ66" s="10" t="s">
        <v>19</v>
      </c>
      <c r="AK66" s="10" t="s">
        <v>27</v>
      </c>
      <c r="AL66" s="10" t="s">
        <v>28</v>
      </c>
      <c r="AM66" s="10" t="s">
        <v>30</v>
      </c>
      <c r="AN66" s="10" t="s">
        <v>31</v>
      </c>
      <c r="AO66" s="10" t="s">
        <v>21</v>
      </c>
      <c r="AP66" s="10" t="s">
        <v>18</v>
      </c>
      <c r="AQ66" s="10" t="s">
        <v>17</v>
      </c>
      <c r="AR66" s="10" t="s">
        <v>14</v>
      </c>
      <c r="AS66" s="10" t="s">
        <v>54</v>
      </c>
      <c r="AT66" s="10" t="s">
        <v>20</v>
      </c>
    </row>
    <row r="67" spans="1:46" x14ac:dyDescent="0.25">
      <c r="B67" s="1">
        <v>0</v>
      </c>
      <c r="C67" s="3">
        <f>50000-W67</f>
        <v>33500</v>
      </c>
      <c r="D67" s="3">
        <f>C67</f>
        <v>33500</v>
      </c>
      <c r="E67" s="6">
        <v>22.56</v>
      </c>
      <c r="F67" s="6">
        <v>22.56</v>
      </c>
      <c r="G67" s="5">
        <f>D67/E67</f>
        <v>1484.9290780141844</v>
      </c>
      <c r="H67" s="3">
        <f>D67*$E$2</f>
        <v>938</v>
      </c>
      <c r="I67" s="3">
        <f>H67*(1-$J$3)</f>
        <v>699.93560000000002</v>
      </c>
      <c r="J67" s="3">
        <f>I67-N68</f>
        <v>0</v>
      </c>
      <c r="K67" s="3">
        <f>D67*$E$3</f>
        <v>737.00000000000011</v>
      </c>
      <c r="L67" s="3">
        <f>D67+I67+K67</f>
        <v>34936.935599999997</v>
      </c>
      <c r="M67" s="3"/>
      <c r="V67" s="1">
        <v>0</v>
      </c>
      <c r="W67" s="3">
        <v>16500</v>
      </c>
      <c r="X67" s="3">
        <f>MIN(W67*20%,500)</f>
        <v>500</v>
      </c>
      <c r="Y67" s="3">
        <f>W67+X67</f>
        <v>17000</v>
      </c>
      <c r="Z67" s="3">
        <f>W67</f>
        <v>16500</v>
      </c>
      <c r="AA67" s="3">
        <f>Y67-Z67</f>
        <v>500</v>
      </c>
      <c r="AB67" s="6">
        <v>22.56</v>
      </c>
      <c r="AC67" s="6"/>
      <c r="AD67" s="5">
        <f>Y67/AB67</f>
        <v>753.54609929078015</v>
      </c>
      <c r="AE67" s="3">
        <f>Y67*$E$2</f>
        <v>476</v>
      </c>
      <c r="AF67" s="3"/>
      <c r="AG67" s="3">
        <f>AE67-AM68</f>
        <v>476</v>
      </c>
      <c r="AH67" s="3">
        <f t="shared" ref="AH67:AH88" si="35">Y67*$E$3</f>
        <v>374.00000000000006</v>
      </c>
      <c r="AI67" s="3">
        <f>Y67+AE67+AH67</f>
        <v>17850</v>
      </c>
    </row>
    <row r="68" spans="1:46" x14ac:dyDescent="0.25">
      <c r="B68" s="1">
        <f>B67+1</f>
        <v>1</v>
      </c>
      <c r="D68" s="3">
        <f>D67+I67+K67-N68-O68+C68</f>
        <v>32428.48761750093</v>
      </c>
      <c r="E68" s="6">
        <f>E67*(1+$E$3)</f>
        <v>23.056319999999999</v>
      </c>
      <c r="F68" s="6">
        <f>(F67*G67+J67+C68)/G68</f>
        <v>22.56</v>
      </c>
      <c r="G68" s="5">
        <f>G67+(J67+C68)/E68</f>
        <v>1484.9290780141844</v>
      </c>
      <c r="H68" s="3">
        <f t="shared" ref="H68:H88" si="36">D68*$E$2</f>
        <v>907.99765329002605</v>
      </c>
      <c r="I68" s="3">
        <f>H68*(1-$J$3)</f>
        <v>677.5478488850174</v>
      </c>
      <c r="J68" s="3">
        <f t="shared" ref="J68:J88" si="37">I68-N69</f>
        <v>0</v>
      </c>
      <c r="K68" s="3">
        <f>D68*$E$3</f>
        <v>713.42672758502056</v>
      </c>
      <c r="L68" s="3">
        <f t="shared" ref="L68:L88" si="38">D68+I68+K68</f>
        <v>33819.462193970969</v>
      </c>
      <c r="M68" s="17">
        <v>2508.4479824990713</v>
      </c>
      <c r="N68" s="3">
        <f t="shared" ref="N68" si="39">MIN(M68,I67)</f>
        <v>699.93560000000002</v>
      </c>
      <c r="O68" s="3">
        <f>M68-N68</f>
        <v>1808.5123824990712</v>
      </c>
      <c r="P68" s="5">
        <f>O68/E68</f>
        <v>78.438900158354471</v>
      </c>
      <c r="Q68" s="3">
        <f>(E68-F68)*P68</f>
        <v>38.930794926594551</v>
      </c>
      <c r="R68" s="5">
        <f t="shared" ref="R68:R88" si="40">Q68*$J$4</f>
        <v>8.4479824990710171</v>
      </c>
      <c r="S68" s="3">
        <f>M68-R68</f>
        <v>2500.0000000000005</v>
      </c>
      <c r="V68" s="1">
        <f>V67+1</f>
        <v>1</v>
      </c>
      <c r="W68" s="3">
        <f>S68</f>
        <v>2500.0000000000005</v>
      </c>
      <c r="X68" s="3">
        <f t="shared" ref="X68:X84" si="41">MIN(W68*20%,500)</f>
        <v>500</v>
      </c>
      <c r="Y68" s="3">
        <f>AB68*AD68</f>
        <v>20850</v>
      </c>
      <c r="Z68" s="3">
        <f>W68+Z67-AK68</f>
        <v>19000</v>
      </c>
      <c r="AA68" s="3">
        <f>Y68-Z68</f>
        <v>1850</v>
      </c>
      <c r="AB68" s="6">
        <f>AB67*(1+$E$3)</f>
        <v>23.056319999999999</v>
      </c>
      <c r="AC68" s="6"/>
      <c r="AD68" s="5">
        <f>AD67+AG67/AB68+W68/AB68+X68/AB68-AK68/AB68-AN68/AB68</f>
        <v>904.30736561602203</v>
      </c>
      <c r="AE68" s="3">
        <f>Y68*$E$2</f>
        <v>583.80000000000007</v>
      </c>
      <c r="AF68" s="3"/>
      <c r="AG68" s="3">
        <f t="shared" ref="AG68:AG75" si="42">AE68-AM69</f>
        <v>583.80000000000007</v>
      </c>
      <c r="AH68" s="3">
        <f t="shared" si="35"/>
        <v>458.70000000000005</v>
      </c>
      <c r="AI68" s="3">
        <f t="shared" ref="AI68:AI88" si="43">Y68+AE68+AH68</f>
        <v>21892.5</v>
      </c>
    </row>
    <row r="69" spans="1:46" x14ac:dyDescent="0.25">
      <c r="B69" s="1">
        <f t="shared" ref="B69:B88" si="44">B68+1</f>
        <v>2</v>
      </c>
      <c r="D69" s="3">
        <f t="shared" ref="D69:D88" si="45">D68+I68+K68-N69-O69+C69</f>
        <v>31302.462140706833</v>
      </c>
      <c r="E69" s="6">
        <f t="shared" ref="E69:E88" si="46">E68*(1+$E$3)</f>
        <v>23.563559040000001</v>
      </c>
      <c r="F69" s="6">
        <f t="shared" ref="F69:F70" si="47">(F68*G68+J68+C69)/G69</f>
        <v>22.56</v>
      </c>
      <c r="G69" s="5">
        <f t="shared" ref="G69:G70" si="48">G68+(J68+C69)/E69</f>
        <v>1484.9290780141844</v>
      </c>
      <c r="H69" s="3">
        <f t="shared" si="36"/>
        <v>876.46893993979131</v>
      </c>
      <c r="I69" s="3">
        <f t="shared" ref="I69:I88" si="49">H69*(1-$J$3)</f>
        <v>654.02112298307225</v>
      </c>
      <c r="J69" s="3">
        <f t="shared" si="37"/>
        <v>0</v>
      </c>
      <c r="K69" s="3">
        <f t="shared" ref="K69:K88" si="50">D69*$E$3</f>
        <v>688.65416709555041</v>
      </c>
      <c r="L69" s="3">
        <f t="shared" si="38"/>
        <v>32645.137430785457</v>
      </c>
      <c r="M69" s="17">
        <v>2517.0000532641316</v>
      </c>
      <c r="N69" s="3">
        <f t="shared" ref="N69:N84" si="51">MIN(M69,I68)</f>
        <v>677.5478488850174</v>
      </c>
      <c r="O69" s="3">
        <f t="shared" ref="O69:O84" si="52">M69-N69</f>
        <v>1839.4522043791142</v>
      </c>
      <c r="P69" s="5">
        <f t="shared" ref="P69:P84" si="53">O69/E69</f>
        <v>78.063428417438004</v>
      </c>
      <c r="Q69" s="3">
        <f t="shared" ref="Q69:Q84" si="54">(E69-F69)*P69</f>
        <v>78.341259281712993</v>
      </c>
      <c r="R69" s="5">
        <f t="shared" si="40"/>
        <v>17.000053264131719</v>
      </c>
      <c r="S69" s="3">
        <f t="shared" ref="S69:S84" si="55">M69-R69</f>
        <v>2500</v>
      </c>
      <c r="V69" s="1">
        <f t="shared" ref="V69:V88" si="56">V68+1</f>
        <v>2</v>
      </c>
      <c r="W69" s="3">
        <f t="shared" ref="W69:W81" si="57">S69</f>
        <v>2500</v>
      </c>
      <c r="X69" s="3">
        <f t="shared" si="41"/>
        <v>500</v>
      </c>
      <c r="Y69" s="3">
        <f t="shared" ref="Y69:Y88" si="58">AB69*AD69</f>
        <v>24892.500000000004</v>
      </c>
      <c r="Z69" s="3">
        <f t="shared" ref="Z69:Z85" si="59">W69+Z68-AK69</f>
        <v>21500</v>
      </c>
      <c r="AA69" s="3">
        <f t="shared" ref="AA69:AA84" si="60">Y69-Z69</f>
        <v>3392.5000000000036</v>
      </c>
      <c r="AB69" s="6">
        <f t="shared" ref="AB69:AB83" si="61">AB68*(1+$E$3)</f>
        <v>23.563559040000001</v>
      </c>
      <c r="AC69" s="6"/>
      <c r="AD69" s="5">
        <f t="shared" ref="AD69:AD88" si="62">AD68+AG68/AB69+W69/AB69+X69/AB69-AK69/AB69-AN69/AB69</f>
        <v>1056.3981424768676</v>
      </c>
      <c r="AE69" s="3">
        <f t="shared" ref="AE69:AE88" si="63">Y69*$E$2</f>
        <v>696.99000000000012</v>
      </c>
      <c r="AF69" s="3"/>
      <c r="AG69" s="3">
        <f t="shared" si="42"/>
        <v>696.99000000000012</v>
      </c>
      <c r="AH69" s="3">
        <f t="shared" si="35"/>
        <v>547.6350000000001</v>
      </c>
      <c r="AI69" s="3">
        <f t="shared" si="43"/>
        <v>26137.125000000004</v>
      </c>
    </row>
    <row r="70" spans="1:46" x14ac:dyDescent="0.25">
      <c r="B70" s="1">
        <f t="shared" si="44"/>
        <v>3</v>
      </c>
      <c r="D70" s="3">
        <f t="shared" si="45"/>
        <v>30119.469292143393</v>
      </c>
      <c r="E70" s="6">
        <f t="shared" si="46"/>
        <v>24.081957338880002</v>
      </c>
      <c r="F70" s="6">
        <f t="shared" si="47"/>
        <v>22.56</v>
      </c>
      <c r="G70" s="5">
        <f t="shared" si="48"/>
        <v>1484.9290780141844</v>
      </c>
      <c r="H70" s="3">
        <f t="shared" si="36"/>
        <v>843.34514018001505</v>
      </c>
      <c r="I70" s="3">
        <f t="shared" si="49"/>
        <v>629.30414360232726</v>
      </c>
      <c r="J70" s="3">
        <f t="shared" si="37"/>
        <v>0</v>
      </c>
      <c r="K70" s="3">
        <f t="shared" si="50"/>
        <v>662.62832442715467</v>
      </c>
      <c r="L70" s="3">
        <f t="shared" si="38"/>
        <v>31411.401760172874</v>
      </c>
      <c r="M70" s="17">
        <v>2525.668138642066</v>
      </c>
      <c r="N70" s="3">
        <f t="shared" si="51"/>
        <v>654.02112298307225</v>
      </c>
      <c r="O70" s="3">
        <f t="shared" si="52"/>
        <v>1871.6470156589937</v>
      </c>
      <c r="P70" s="5">
        <f t="shared" si="53"/>
        <v>77.719887520822255</v>
      </c>
      <c r="Q70" s="3">
        <f t="shared" si="54"/>
        <v>118.28635318924384</v>
      </c>
      <c r="R70" s="5">
        <f t="shared" si="40"/>
        <v>25.668138642065912</v>
      </c>
      <c r="S70" s="3">
        <f t="shared" si="55"/>
        <v>2500</v>
      </c>
      <c r="V70" s="1">
        <f t="shared" si="56"/>
        <v>3</v>
      </c>
      <c r="W70" s="3">
        <f t="shared" si="57"/>
        <v>2500</v>
      </c>
      <c r="X70" s="3">
        <f t="shared" si="41"/>
        <v>500</v>
      </c>
      <c r="Y70" s="3">
        <f t="shared" si="58"/>
        <v>29137.125000000007</v>
      </c>
      <c r="Z70" s="3">
        <f t="shared" si="59"/>
        <v>24000</v>
      </c>
      <c r="AA70" s="3">
        <f t="shared" si="60"/>
        <v>5137.1250000000073</v>
      </c>
      <c r="AB70" s="6">
        <f t="shared" si="61"/>
        <v>24.081957338880002</v>
      </c>
      <c r="AC70" s="6"/>
      <c r="AD70" s="5">
        <f t="shared" si="62"/>
        <v>1209.9151489218239</v>
      </c>
      <c r="AE70" s="3">
        <f t="shared" si="63"/>
        <v>815.83950000000027</v>
      </c>
      <c r="AF70" s="3"/>
      <c r="AG70" s="3">
        <f t="shared" si="42"/>
        <v>815.83950000000027</v>
      </c>
      <c r="AH70" s="3">
        <f t="shared" si="35"/>
        <v>641.01675000000023</v>
      </c>
      <c r="AI70" s="3">
        <f t="shared" si="43"/>
        <v>30593.981250000008</v>
      </c>
    </row>
    <row r="71" spans="1:46" x14ac:dyDescent="0.25">
      <c r="B71" s="1">
        <f t="shared" si="44"/>
        <v>4</v>
      </c>
      <c r="D71" s="3">
        <f t="shared" si="45"/>
        <v>28876.936997306155</v>
      </c>
      <c r="E71" s="6">
        <f t="shared" si="46"/>
        <v>24.611760400335363</v>
      </c>
      <c r="F71" s="6">
        <f>(F70*G70+J70+C71)/G71</f>
        <v>22.56</v>
      </c>
      <c r="G71" s="5">
        <f>G70+(J70+C71)/E71</f>
        <v>1484.9290780141844</v>
      </c>
      <c r="H71" s="3">
        <f t="shared" si="36"/>
        <v>808.55423592457237</v>
      </c>
      <c r="I71" s="3">
        <f t="shared" si="49"/>
        <v>603.34317084691588</v>
      </c>
      <c r="J71" s="3">
        <f t="shared" si="37"/>
        <v>0</v>
      </c>
      <c r="K71" s="3">
        <f t="shared" si="50"/>
        <v>635.29261394073546</v>
      </c>
      <c r="L71" s="3">
        <f t="shared" si="38"/>
        <v>30115.572782093805</v>
      </c>
      <c r="M71" s="17">
        <v>2534.464762866719</v>
      </c>
      <c r="N71" s="3">
        <f t="shared" si="51"/>
        <v>629.30414360232726</v>
      </c>
      <c r="O71" s="3">
        <f t="shared" si="52"/>
        <v>1905.1606192643917</v>
      </c>
      <c r="P71" s="5">
        <f t="shared" si="53"/>
        <v>77.40854730726339</v>
      </c>
      <c r="Q71" s="3">
        <f t="shared" si="54"/>
        <v>158.82379201252974</v>
      </c>
      <c r="R71" s="5">
        <f t="shared" si="40"/>
        <v>34.464762866718949</v>
      </c>
      <c r="S71" s="3">
        <f t="shared" si="55"/>
        <v>2500</v>
      </c>
      <c r="V71" s="1">
        <f t="shared" si="56"/>
        <v>4</v>
      </c>
      <c r="W71" s="3">
        <f t="shared" si="57"/>
        <v>2500</v>
      </c>
      <c r="X71" s="3">
        <f t="shared" si="41"/>
        <v>500</v>
      </c>
      <c r="Y71" s="3">
        <f t="shared" si="58"/>
        <v>33593.981250000004</v>
      </c>
      <c r="Z71" s="3">
        <f t="shared" si="59"/>
        <v>26500</v>
      </c>
      <c r="AA71" s="3">
        <f t="shared" si="60"/>
        <v>7093.9812500000044</v>
      </c>
      <c r="AB71" s="6">
        <f t="shared" si="61"/>
        <v>24.611760400335363</v>
      </c>
      <c r="AC71" s="6"/>
      <c r="AD71" s="5">
        <f t="shared" si="62"/>
        <v>1364.9564559202456</v>
      </c>
      <c r="AE71" s="3">
        <f t="shared" si="63"/>
        <v>940.63147500000014</v>
      </c>
      <c r="AF71" s="3"/>
      <c r="AG71" s="3">
        <f t="shared" si="42"/>
        <v>940.63147500000014</v>
      </c>
      <c r="AH71" s="3">
        <f t="shared" si="35"/>
        <v>739.06758750000017</v>
      </c>
      <c r="AI71" s="3">
        <f t="shared" si="43"/>
        <v>35273.680312500008</v>
      </c>
    </row>
    <row r="72" spans="1:46" x14ac:dyDescent="0.25">
      <c r="B72" s="1">
        <f t="shared" si="44"/>
        <v>5</v>
      </c>
      <c r="D72" s="3">
        <f t="shared" si="45"/>
        <v>27572.16970536915</v>
      </c>
      <c r="E72" s="6">
        <f t="shared" si="46"/>
        <v>25.153219129142741</v>
      </c>
      <c r="F72" s="6">
        <f t="shared" ref="F72:F88" si="64">(F71*G71+J71+C72)/G72</f>
        <v>22.56</v>
      </c>
      <c r="G72" s="5">
        <f t="shared" ref="G72:G88" si="65">G71+(J71+C72)/E72</f>
        <v>1484.9290780141844</v>
      </c>
      <c r="H72" s="3">
        <f t="shared" si="36"/>
        <v>772.02075175033622</v>
      </c>
      <c r="I72" s="3">
        <f t="shared" si="49"/>
        <v>576.08188495610091</v>
      </c>
      <c r="J72" s="3">
        <f t="shared" si="37"/>
        <v>0</v>
      </c>
      <c r="K72" s="3">
        <f t="shared" si="50"/>
        <v>606.58773351812135</v>
      </c>
      <c r="L72" s="3">
        <f t="shared" si="38"/>
        <v>28754.839323843371</v>
      </c>
      <c r="M72" s="17">
        <v>2543.4030767246568</v>
      </c>
      <c r="N72" s="3">
        <f t="shared" si="51"/>
        <v>603.34317084691588</v>
      </c>
      <c r="O72" s="3">
        <f t="shared" si="52"/>
        <v>1940.0599058777409</v>
      </c>
      <c r="P72" s="5">
        <f t="shared" si="53"/>
        <v>77.129686499250923</v>
      </c>
      <c r="Q72" s="3">
        <f t="shared" si="54"/>
        <v>200.01417845464019</v>
      </c>
      <c r="R72" s="5">
        <f t="shared" si="40"/>
        <v>43.40307672465692</v>
      </c>
      <c r="S72" s="3">
        <f t="shared" si="55"/>
        <v>2500</v>
      </c>
      <c r="V72" s="1">
        <f t="shared" si="56"/>
        <v>5</v>
      </c>
      <c r="W72" s="3">
        <f t="shared" si="57"/>
        <v>2500</v>
      </c>
      <c r="X72" s="3">
        <f t="shared" si="41"/>
        <v>500</v>
      </c>
      <c r="Y72" s="3">
        <f t="shared" si="58"/>
        <v>38273.680312500008</v>
      </c>
      <c r="Z72" s="3">
        <f t="shared" si="59"/>
        <v>29000</v>
      </c>
      <c r="AA72" s="3">
        <f t="shared" si="60"/>
        <v>9273.6803125000079</v>
      </c>
      <c r="AB72" s="6">
        <f t="shared" si="61"/>
        <v>25.153219129142741</v>
      </c>
      <c r="AC72" s="6"/>
      <c r="AD72" s="5">
        <f t="shared" si="62"/>
        <v>1521.6215513407501</v>
      </c>
      <c r="AE72" s="3">
        <f t="shared" si="63"/>
        <v>1071.6630487500001</v>
      </c>
      <c r="AF72" s="3"/>
      <c r="AG72" s="3">
        <f t="shared" si="42"/>
        <v>1071.6630487500001</v>
      </c>
      <c r="AH72" s="3">
        <f t="shared" si="35"/>
        <v>842.02096687500023</v>
      </c>
      <c r="AI72" s="3">
        <f t="shared" si="43"/>
        <v>40187.364328125012</v>
      </c>
    </row>
    <row r="73" spans="1:46" x14ac:dyDescent="0.25">
      <c r="B73" s="1">
        <f t="shared" si="44"/>
        <v>6</v>
      </c>
      <c r="D73" s="3">
        <f t="shared" si="45"/>
        <v>26202.342436138944</v>
      </c>
      <c r="E73" s="6">
        <f t="shared" si="46"/>
        <v>25.706589949983883</v>
      </c>
      <c r="F73" s="6">
        <f t="shared" si="64"/>
        <v>22.56</v>
      </c>
      <c r="G73" s="5">
        <f t="shared" si="65"/>
        <v>1484.9290780141844</v>
      </c>
      <c r="H73" s="3">
        <f t="shared" si="36"/>
        <v>733.66558821189051</v>
      </c>
      <c r="I73" s="3">
        <f t="shared" si="49"/>
        <v>547.46126192371264</v>
      </c>
      <c r="J73" s="3">
        <f t="shared" si="37"/>
        <v>0</v>
      </c>
      <c r="K73" s="3">
        <f t="shared" si="50"/>
        <v>576.45153359505684</v>
      </c>
      <c r="L73" s="3">
        <f t="shared" si="38"/>
        <v>27326.255231657713</v>
      </c>
      <c r="M73" s="17">
        <v>2552.4968877044262</v>
      </c>
      <c r="N73" s="3">
        <f t="shared" si="51"/>
        <v>576.08188495610091</v>
      </c>
      <c r="O73" s="3">
        <f t="shared" si="52"/>
        <v>1976.4150027483252</v>
      </c>
      <c r="P73" s="5">
        <f t="shared" si="53"/>
        <v>76.883593140659414</v>
      </c>
      <c r="Q73" s="3">
        <f t="shared" si="54"/>
        <v>241.9211414950488</v>
      </c>
      <c r="R73" s="5">
        <f t="shared" si="40"/>
        <v>52.496887704425589</v>
      </c>
      <c r="S73" s="3">
        <f t="shared" si="55"/>
        <v>2500.0000000000005</v>
      </c>
      <c r="V73" s="1">
        <f t="shared" si="56"/>
        <v>6</v>
      </c>
      <c r="W73" s="3">
        <f t="shared" si="57"/>
        <v>2500.0000000000005</v>
      </c>
      <c r="X73" s="3">
        <f t="shared" si="41"/>
        <v>500</v>
      </c>
      <c r="Y73" s="3">
        <f t="shared" si="58"/>
        <v>43187.364328125012</v>
      </c>
      <c r="Z73" s="3">
        <f t="shared" si="59"/>
        <v>31500</v>
      </c>
      <c r="AA73" s="3">
        <f t="shared" si="60"/>
        <v>11687.364328125012</v>
      </c>
      <c r="AB73" s="6">
        <f t="shared" si="61"/>
        <v>25.706589949983883</v>
      </c>
      <c r="AC73" s="6"/>
      <c r="AD73" s="5">
        <f t="shared" si="62"/>
        <v>1680.0114061084205</v>
      </c>
      <c r="AE73" s="3">
        <f t="shared" si="63"/>
        <v>1209.2462011875004</v>
      </c>
      <c r="AF73" s="3"/>
      <c r="AG73" s="3">
        <f t="shared" si="42"/>
        <v>1209.2462011875004</v>
      </c>
      <c r="AH73" s="3">
        <f t="shared" si="35"/>
        <v>950.12201521875033</v>
      </c>
      <c r="AI73" s="3">
        <f t="shared" si="43"/>
        <v>45346.732544531267</v>
      </c>
    </row>
    <row r="74" spans="1:46" x14ac:dyDescent="0.25">
      <c r="B74" s="1">
        <f t="shared" si="44"/>
        <v>7</v>
      </c>
      <c r="D74" s="3">
        <f t="shared" si="45"/>
        <v>24764.494539955533</v>
      </c>
      <c r="E74" s="6">
        <f t="shared" si="46"/>
        <v>26.272134928883528</v>
      </c>
      <c r="F74" s="6">
        <f t="shared" si="64"/>
        <v>22.56</v>
      </c>
      <c r="G74" s="5">
        <f t="shared" si="65"/>
        <v>1484.9290780141844</v>
      </c>
      <c r="H74" s="3">
        <f t="shared" si="36"/>
        <v>693.40584711875488</v>
      </c>
      <c r="I74" s="3">
        <f t="shared" si="49"/>
        <v>517.41944312001488</v>
      </c>
      <c r="J74" s="3">
        <f t="shared" si="37"/>
        <v>0</v>
      </c>
      <c r="K74" s="3">
        <f t="shared" si="50"/>
        <v>544.81887987902178</v>
      </c>
      <c r="L74" s="3">
        <f t="shared" si="38"/>
        <v>25826.73286295457</v>
      </c>
      <c r="M74" s="17">
        <v>2561.7606917021808</v>
      </c>
      <c r="N74" s="3">
        <f t="shared" si="51"/>
        <v>547.46126192371264</v>
      </c>
      <c r="O74" s="3">
        <f t="shared" si="52"/>
        <v>2014.299429778468</v>
      </c>
      <c r="P74" s="5">
        <f t="shared" si="53"/>
        <v>76.670565039004558</v>
      </c>
      <c r="Q74" s="3">
        <f t="shared" si="54"/>
        <v>284.61148249852516</v>
      </c>
      <c r="R74" s="5">
        <f t="shared" si="40"/>
        <v>61.760691702179962</v>
      </c>
      <c r="S74" s="3">
        <f t="shared" si="55"/>
        <v>2500.0000000000009</v>
      </c>
      <c r="V74" s="1">
        <f t="shared" si="56"/>
        <v>7</v>
      </c>
      <c r="W74" s="3">
        <f t="shared" si="57"/>
        <v>2500.0000000000009</v>
      </c>
      <c r="X74" s="3">
        <f t="shared" si="41"/>
        <v>500</v>
      </c>
      <c r="Y74" s="3">
        <f t="shared" si="58"/>
        <v>48346.732544531267</v>
      </c>
      <c r="Z74" s="3">
        <f t="shared" si="59"/>
        <v>34000</v>
      </c>
      <c r="AA74" s="3">
        <f t="shared" si="60"/>
        <v>14346.732544531267</v>
      </c>
      <c r="AB74" s="6">
        <f t="shared" si="61"/>
        <v>26.272134928883528</v>
      </c>
      <c r="AC74" s="6"/>
      <c r="AD74" s="5">
        <f t="shared" si="62"/>
        <v>1840.2285415860504</v>
      </c>
      <c r="AE74" s="3">
        <f t="shared" si="63"/>
        <v>1353.7085112468756</v>
      </c>
      <c r="AF74" s="3"/>
      <c r="AG74" s="3">
        <f t="shared" si="42"/>
        <v>1353.7085112468756</v>
      </c>
      <c r="AH74" s="3">
        <f t="shared" si="35"/>
        <v>1063.6281159796879</v>
      </c>
      <c r="AI74" s="3">
        <f t="shared" si="43"/>
        <v>50764.06917175783</v>
      </c>
    </row>
    <row r="75" spans="1:46" x14ac:dyDescent="0.25">
      <c r="B75" s="1">
        <f t="shared" si="44"/>
        <v>8</v>
      </c>
      <c r="D75" s="3">
        <f t="shared" si="45"/>
        <v>23255.523156594529</v>
      </c>
      <c r="E75" s="6">
        <f t="shared" si="46"/>
        <v>26.850121897318967</v>
      </c>
      <c r="F75" s="6">
        <f t="shared" si="64"/>
        <v>22.56</v>
      </c>
      <c r="G75" s="5">
        <f t="shared" si="65"/>
        <v>1484.9290780141844</v>
      </c>
      <c r="H75" s="3">
        <f t="shared" si="36"/>
        <v>651.15464838464686</v>
      </c>
      <c r="I75" s="3">
        <f t="shared" si="49"/>
        <v>485.8915986246235</v>
      </c>
      <c r="J75" s="3">
        <f t="shared" si="37"/>
        <v>0</v>
      </c>
      <c r="K75" s="3">
        <f t="shared" si="50"/>
        <v>511.62150944507971</v>
      </c>
      <c r="L75" s="3">
        <f t="shared" si="38"/>
        <v>24253.036264664232</v>
      </c>
      <c r="M75" s="17">
        <v>2571.2097063600395</v>
      </c>
      <c r="N75" s="3">
        <f t="shared" si="51"/>
        <v>517.41944312001488</v>
      </c>
      <c r="O75" s="3">
        <f t="shared" si="52"/>
        <v>2053.7902632400246</v>
      </c>
      <c r="P75" s="5">
        <f t="shared" si="53"/>
        <v>76.490910212407613</v>
      </c>
      <c r="Q75" s="3">
        <f t="shared" si="54"/>
        <v>328.15532884810904</v>
      </c>
      <c r="R75" s="5">
        <f t="shared" si="40"/>
        <v>71.209706360039661</v>
      </c>
      <c r="S75" s="3">
        <f t="shared" si="55"/>
        <v>2500</v>
      </c>
      <c r="V75" s="1">
        <f t="shared" si="56"/>
        <v>8</v>
      </c>
      <c r="W75" s="3">
        <f t="shared" si="57"/>
        <v>2500</v>
      </c>
      <c r="X75" s="3">
        <f t="shared" si="41"/>
        <v>500</v>
      </c>
      <c r="Y75" s="3">
        <f t="shared" si="58"/>
        <v>53764.06917175783</v>
      </c>
      <c r="Z75" s="3">
        <f t="shared" si="59"/>
        <v>36500</v>
      </c>
      <c r="AA75" s="3">
        <f t="shared" si="60"/>
        <v>17264.06917175783</v>
      </c>
      <c r="AB75" s="6">
        <f t="shared" si="61"/>
        <v>26.850121897318967</v>
      </c>
      <c r="AC75" s="6"/>
      <c r="AD75" s="5">
        <f t="shared" si="62"/>
        <v>2002.3770982256237</v>
      </c>
      <c r="AE75" s="3">
        <f t="shared" si="63"/>
        <v>1505.3939368092192</v>
      </c>
      <c r="AF75" s="3"/>
      <c r="AG75" s="3">
        <f t="shared" si="42"/>
        <v>1505.3939368092192</v>
      </c>
      <c r="AH75" s="3">
        <f t="shared" si="35"/>
        <v>1182.8095217786724</v>
      </c>
      <c r="AI75" s="3">
        <f t="shared" si="43"/>
        <v>56452.272630345724</v>
      </c>
    </row>
    <row r="76" spans="1:46" x14ac:dyDescent="0.25">
      <c r="B76" s="1">
        <f t="shared" si="44"/>
        <v>9</v>
      </c>
      <c r="D76" s="3">
        <f t="shared" si="45"/>
        <v>21672.176358547051</v>
      </c>
      <c r="E76" s="6">
        <f t="shared" si="46"/>
        <v>27.440824579059985</v>
      </c>
      <c r="F76" s="6">
        <f t="shared" si="64"/>
        <v>22.56</v>
      </c>
      <c r="G76" s="5">
        <f t="shared" si="65"/>
        <v>1484.9290780141844</v>
      </c>
      <c r="H76" s="3">
        <f t="shared" si="36"/>
        <v>606.82093803931741</v>
      </c>
      <c r="I76" s="3">
        <f t="shared" si="49"/>
        <v>452.80978396493862</v>
      </c>
      <c r="J76" s="3">
        <f t="shared" si="37"/>
        <v>0</v>
      </c>
      <c r="K76" s="3">
        <f t="shared" si="50"/>
        <v>476.78787988803515</v>
      </c>
      <c r="L76" s="3">
        <f t="shared" si="38"/>
        <v>22601.774022400023</v>
      </c>
      <c r="M76" s="17">
        <v>2580.8599061171808</v>
      </c>
      <c r="N76" s="3">
        <f t="shared" si="51"/>
        <v>485.8915986246235</v>
      </c>
      <c r="O76" s="3">
        <f t="shared" si="52"/>
        <v>2094.9683074925574</v>
      </c>
      <c r="P76" s="5">
        <f t="shared" si="53"/>
        <v>76.344947341386444</v>
      </c>
      <c r="Q76" s="3">
        <f t="shared" si="54"/>
        <v>372.62629547087931</v>
      </c>
      <c r="R76" s="5">
        <f t="shared" si="40"/>
        <v>80.859906117180813</v>
      </c>
      <c r="S76" s="3">
        <f t="shared" si="55"/>
        <v>2500</v>
      </c>
      <c r="V76" s="1">
        <f t="shared" si="56"/>
        <v>9</v>
      </c>
      <c r="W76" s="3">
        <f t="shared" si="57"/>
        <v>2500</v>
      </c>
      <c r="X76" s="3">
        <f t="shared" si="41"/>
        <v>500</v>
      </c>
      <c r="Y76" s="3">
        <f t="shared" si="58"/>
        <v>59452.272630345731</v>
      </c>
      <c r="Z76" s="3">
        <f t="shared" si="59"/>
        <v>39000</v>
      </c>
      <c r="AA76" s="3">
        <f t="shared" si="60"/>
        <v>20452.272630345731</v>
      </c>
      <c r="AB76" s="6">
        <f t="shared" si="61"/>
        <v>27.440824579059985</v>
      </c>
      <c r="AC76" s="6"/>
      <c r="AD76" s="5">
        <f t="shared" si="62"/>
        <v>2166.5629055372333</v>
      </c>
      <c r="AE76" s="3">
        <f t="shared" si="63"/>
        <v>1664.6636336496806</v>
      </c>
      <c r="AF76" s="3"/>
      <c r="AG76" s="3">
        <f>AE76-AM77</f>
        <v>1664.6636336496806</v>
      </c>
      <c r="AH76" s="3">
        <f t="shared" si="35"/>
        <v>1307.9499978676063</v>
      </c>
      <c r="AI76" s="3">
        <f t="shared" si="43"/>
        <v>62424.886261863016</v>
      </c>
    </row>
    <row r="77" spans="1:46" x14ac:dyDescent="0.25">
      <c r="B77" s="1">
        <f t="shared" si="44"/>
        <v>10</v>
      </c>
      <c r="D77" s="3">
        <f t="shared" si="45"/>
        <v>20011.045963342509</v>
      </c>
      <c r="E77" s="6">
        <f t="shared" si="46"/>
        <v>28.044522719799303</v>
      </c>
      <c r="F77" s="6">
        <f t="shared" si="64"/>
        <v>22.56</v>
      </c>
      <c r="G77" s="5">
        <f t="shared" si="65"/>
        <v>1484.9290780141844</v>
      </c>
      <c r="H77" s="3">
        <f t="shared" si="36"/>
        <v>560.30928697359025</v>
      </c>
      <c r="I77" s="3">
        <f t="shared" si="49"/>
        <v>418.10278993969303</v>
      </c>
      <c r="J77" s="3">
        <f t="shared" si="37"/>
        <v>0</v>
      </c>
      <c r="K77" s="3">
        <f t="shared" si="50"/>
        <v>440.24301119353527</v>
      </c>
      <c r="L77" s="3">
        <f t="shared" si="38"/>
        <v>20869.391764475738</v>
      </c>
      <c r="M77" s="17">
        <v>2590.7280590575156</v>
      </c>
      <c r="N77" s="3">
        <f t="shared" si="51"/>
        <v>452.80978396493862</v>
      </c>
      <c r="O77" s="3">
        <f t="shared" si="52"/>
        <v>2137.918275092577</v>
      </c>
      <c r="P77" s="5">
        <f t="shared" si="53"/>
        <v>76.233006225604854</v>
      </c>
      <c r="Q77" s="3">
        <f t="shared" si="54"/>
        <v>418.10165464293163</v>
      </c>
      <c r="R77" s="5">
        <f t="shared" si="40"/>
        <v>90.728059057516163</v>
      </c>
      <c r="S77" s="3">
        <f t="shared" si="55"/>
        <v>2499.9999999999995</v>
      </c>
      <c r="V77" s="1">
        <f t="shared" si="56"/>
        <v>10</v>
      </c>
      <c r="W77" s="3">
        <f t="shared" si="57"/>
        <v>2499.9999999999995</v>
      </c>
      <c r="X77" s="3">
        <f t="shared" si="41"/>
        <v>499.99999999999994</v>
      </c>
      <c r="Y77" s="3">
        <f t="shared" si="58"/>
        <v>65424.886261863001</v>
      </c>
      <c r="Z77" s="3">
        <f t="shared" si="59"/>
        <v>41500</v>
      </c>
      <c r="AA77" s="3">
        <f t="shared" si="60"/>
        <v>23924.886261863001</v>
      </c>
      <c r="AB77" s="6">
        <f t="shared" si="61"/>
        <v>28.044522719799303</v>
      </c>
      <c r="AC77" s="6"/>
      <c r="AD77" s="5">
        <f t="shared" si="62"/>
        <v>2332.8935534236543</v>
      </c>
      <c r="AE77" s="3">
        <f t="shared" si="63"/>
        <v>1831.8968153321641</v>
      </c>
      <c r="AF77" s="3"/>
      <c r="AG77" s="3">
        <f t="shared" ref="AG77:AG83" si="66">AE77-AM78</f>
        <v>1831.8968153321641</v>
      </c>
      <c r="AH77" s="3">
        <f t="shared" si="35"/>
        <v>1439.3474977609862</v>
      </c>
      <c r="AI77" s="3">
        <f t="shared" si="43"/>
        <v>68696.130574956158</v>
      </c>
    </row>
    <row r="78" spans="1:46" x14ac:dyDescent="0.25">
      <c r="B78" s="1">
        <f t="shared" si="44"/>
        <v>11</v>
      </c>
      <c r="D78" s="3">
        <f t="shared" si="45"/>
        <v>18268.559998833891</v>
      </c>
      <c r="E78" s="6">
        <f t="shared" si="46"/>
        <v>28.66150221963489</v>
      </c>
      <c r="F78" s="6">
        <f t="shared" si="64"/>
        <v>22.56</v>
      </c>
      <c r="G78" s="5">
        <f t="shared" si="65"/>
        <v>1484.9290780141844</v>
      </c>
      <c r="H78" s="3">
        <f t="shared" si="36"/>
        <v>511.51967996734896</v>
      </c>
      <c r="I78" s="3">
        <f t="shared" si="49"/>
        <v>381.69598519163577</v>
      </c>
      <c r="J78" s="3">
        <f t="shared" si="37"/>
        <v>0</v>
      </c>
      <c r="K78" s="3">
        <f t="shared" si="50"/>
        <v>401.90831997434566</v>
      </c>
      <c r="L78" s="3">
        <f t="shared" si="38"/>
        <v>19052.164303999874</v>
      </c>
      <c r="M78" s="17">
        <v>2600.8317656418453</v>
      </c>
      <c r="N78" s="3">
        <f t="shared" si="51"/>
        <v>418.10278993969303</v>
      </c>
      <c r="O78" s="3">
        <f t="shared" si="52"/>
        <v>2182.7289757021522</v>
      </c>
      <c r="P78" s="5">
        <f t="shared" si="53"/>
        <v>76.15542824572708</v>
      </c>
      <c r="Q78" s="3">
        <f t="shared" si="54"/>
        <v>464.6625144785495</v>
      </c>
      <c r="R78" s="5">
        <f t="shared" si="40"/>
        <v>100.83176564184524</v>
      </c>
      <c r="S78" s="3">
        <f t="shared" si="55"/>
        <v>2500</v>
      </c>
      <c r="V78" s="1">
        <f t="shared" si="56"/>
        <v>11</v>
      </c>
      <c r="W78" s="3">
        <f t="shared" si="57"/>
        <v>2500</v>
      </c>
      <c r="X78" s="3">
        <f t="shared" si="41"/>
        <v>500</v>
      </c>
      <c r="Y78" s="3">
        <f t="shared" si="58"/>
        <v>71696.130574956158</v>
      </c>
      <c r="Z78" s="3">
        <f t="shared" si="59"/>
        <v>44000</v>
      </c>
      <c r="AA78" s="3">
        <f t="shared" si="60"/>
        <v>27696.130574956158</v>
      </c>
      <c r="AB78" s="6">
        <f t="shared" si="61"/>
        <v>28.66150221963489</v>
      </c>
      <c r="AC78" s="6"/>
      <c r="AD78" s="5">
        <f t="shared" si="62"/>
        <v>2501.4784649298635</v>
      </c>
      <c r="AE78" s="3">
        <f t="shared" si="63"/>
        <v>2007.4916560987724</v>
      </c>
      <c r="AF78" s="3"/>
      <c r="AG78" s="3">
        <f t="shared" si="66"/>
        <v>2007.4916560987724</v>
      </c>
      <c r="AH78" s="3">
        <f t="shared" si="35"/>
        <v>1577.3148726490356</v>
      </c>
      <c r="AI78" s="3">
        <f t="shared" si="43"/>
        <v>75280.937103703967</v>
      </c>
    </row>
    <row r="79" spans="1:46" x14ac:dyDescent="0.25">
      <c r="B79" s="1">
        <f t="shared" si="44"/>
        <v>12</v>
      </c>
      <c r="D79" s="3">
        <f t="shared" si="45"/>
        <v>16440.974804583286</v>
      </c>
      <c r="E79" s="6">
        <f t="shared" si="46"/>
        <v>29.292055268466857</v>
      </c>
      <c r="F79" s="6">
        <f t="shared" si="64"/>
        <v>22.56</v>
      </c>
      <c r="G79" s="5">
        <f t="shared" si="65"/>
        <v>1484.9290780141844</v>
      </c>
      <c r="H79" s="3">
        <f t="shared" si="36"/>
        <v>460.34729452833199</v>
      </c>
      <c r="I79" s="3">
        <f t="shared" si="49"/>
        <v>343.51115117704131</v>
      </c>
      <c r="J79" s="3">
        <f t="shared" si="37"/>
        <v>0</v>
      </c>
      <c r="K79" s="3">
        <f t="shared" si="50"/>
        <v>361.70144570083232</v>
      </c>
      <c r="L79" s="3">
        <f t="shared" si="38"/>
        <v>17146.18740146116</v>
      </c>
      <c r="M79" s="17">
        <v>2611.1894994165868</v>
      </c>
      <c r="N79" s="3">
        <f t="shared" si="51"/>
        <v>381.69598519163577</v>
      </c>
      <c r="O79" s="3">
        <f t="shared" si="52"/>
        <v>2229.493514224951</v>
      </c>
      <c r="P79" s="5">
        <f t="shared" si="53"/>
        <v>76.112566830536451</v>
      </c>
      <c r="Q79" s="3">
        <f t="shared" si="54"/>
        <v>512.39400652804875</v>
      </c>
      <c r="R79" s="5">
        <f t="shared" si="40"/>
        <v>111.18949941658657</v>
      </c>
      <c r="S79" s="3">
        <f t="shared" si="55"/>
        <v>2500.0000000000005</v>
      </c>
      <c r="V79" s="1">
        <f t="shared" si="56"/>
        <v>12</v>
      </c>
      <c r="W79" s="3">
        <f t="shared" si="57"/>
        <v>2500.0000000000005</v>
      </c>
      <c r="X79" s="3">
        <f t="shared" si="41"/>
        <v>500</v>
      </c>
      <c r="Y79" s="3">
        <f t="shared" si="58"/>
        <v>78280.937103703982</v>
      </c>
      <c r="Z79" s="3">
        <f t="shared" si="59"/>
        <v>46500</v>
      </c>
      <c r="AA79" s="3">
        <f t="shared" si="60"/>
        <v>31780.937103703982</v>
      </c>
      <c r="AB79" s="6">
        <f t="shared" si="61"/>
        <v>29.292055268466857</v>
      </c>
      <c r="AC79" s="6"/>
      <c r="AD79" s="5">
        <f t="shared" si="62"/>
        <v>2672.4289704578723</v>
      </c>
      <c r="AE79" s="3">
        <f t="shared" si="63"/>
        <v>2191.8662389037117</v>
      </c>
      <c r="AF79" s="3"/>
      <c r="AG79" s="3">
        <f t="shared" si="66"/>
        <v>2191.8662389037117</v>
      </c>
      <c r="AH79" s="3">
        <f t="shared" si="35"/>
        <v>1722.1806162814878</v>
      </c>
      <c r="AI79" s="3">
        <f t="shared" si="43"/>
        <v>82194.983958889177</v>
      </c>
    </row>
    <row r="80" spans="1:46" x14ac:dyDescent="0.25">
      <c r="B80" s="1">
        <f t="shared" si="44"/>
        <v>13</v>
      </c>
      <c r="D80" s="3">
        <f t="shared" si="45"/>
        <v>14524.366751665511</v>
      </c>
      <c r="E80" s="6">
        <f t="shared" si="46"/>
        <v>29.936480484373128</v>
      </c>
      <c r="F80" s="6">
        <f t="shared" si="64"/>
        <v>22.56</v>
      </c>
      <c r="G80" s="5">
        <f t="shared" si="65"/>
        <v>1484.9290780141844</v>
      </c>
      <c r="H80" s="3">
        <f t="shared" si="36"/>
        <v>406.6822690466343</v>
      </c>
      <c r="I80" s="3">
        <f t="shared" si="49"/>
        <v>303.46630916259852</v>
      </c>
      <c r="J80" s="3">
        <f t="shared" si="37"/>
        <v>0</v>
      </c>
      <c r="K80" s="3">
        <f t="shared" si="50"/>
        <v>319.53606853664127</v>
      </c>
      <c r="L80" s="3">
        <f t="shared" si="38"/>
        <v>15147.369129364752</v>
      </c>
      <c r="M80" s="17">
        <v>2621.8206497956498</v>
      </c>
      <c r="N80" s="3">
        <f t="shared" si="51"/>
        <v>343.51115117704131</v>
      </c>
      <c r="O80" s="3">
        <f t="shared" si="52"/>
        <v>2278.3094986186084</v>
      </c>
      <c r="P80" s="5">
        <f t="shared" si="53"/>
        <v>76.104787929492517</v>
      </c>
      <c r="Q80" s="3">
        <f t="shared" si="54"/>
        <v>561.38548292925725</v>
      </c>
      <c r="R80" s="5">
        <f t="shared" si="40"/>
        <v>121.82064979564882</v>
      </c>
      <c r="S80" s="3">
        <f t="shared" si="55"/>
        <v>2500.0000000000009</v>
      </c>
      <c r="V80" s="1">
        <f t="shared" si="56"/>
        <v>13</v>
      </c>
      <c r="W80" s="3">
        <f t="shared" si="57"/>
        <v>2500.0000000000009</v>
      </c>
      <c r="X80" s="3">
        <f t="shared" si="41"/>
        <v>500</v>
      </c>
      <c r="Y80" s="3">
        <f t="shared" si="58"/>
        <v>85194.983958889192</v>
      </c>
      <c r="Z80" s="3">
        <f t="shared" si="59"/>
        <v>49000</v>
      </c>
      <c r="AA80" s="3">
        <f t="shared" si="60"/>
        <v>36194.983958889192</v>
      </c>
      <c r="AB80" s="6">
        <f t="shared" si="61"/>
        <v>29.936480484373128</v>
      </c>
      <c r="AC80" s="6"/>
      <c r="AD80" s="5">
        <f t="shared" si="62"/>
        <v>2845.8583834983892</v>
      </c>
      <c r="AE80" s="3">
        <f t="shared" si="63"/>
        <v>2385.4595508488974</v>
      </c>
      <c r="AF80" s="3"/>
      <c r="AG80" s="3">
        <f t="shared" si="66"/>
        <v>2385.4595508488974</v>
      </c>
      <c r="AH80" s="3">
        <f t="shared" si="35"/>
        <v>1874.2896470955625</v>
      </c>
      <c r="AI80" s="3">
        <f t="shared" si="43"/>
        <v>89454.733156833652</v>
      </c>
    </row>
    <row r="81" spans="1:48" x14ac:dyDescent="0.25">
      <c r="B81" s="1">
        <f t="shared" si="44"/>
        <v>14</v>
      </c>
      <c r="D81" s="3">
        <f t="shared" si="45"/>
        <v>14105.274733033792</v>
      </c>
      <c r="E81" s="6">
        <f t="shared" si="46"/>
        <v>30.595083055029338</v>
      </c>
      <c r="F81" s="6">
        <f t="shared" si="64"/>
        <v>22.56</v>
      </c>
      <c r="G81" s="5">
        <f t="shared" si="65"/>
        <v>1484.9290780141844</v>
      </c>
      <c r="H81" s="3">
        <f t="shared" si="36"/>
        <v>394.94769252494615</v>
      </c>
      <c r="I81" s="3">
        <f t="shared" si="49"/>
        <v>294.70996816211482</v>
      </c>
      <c r="J81" s="3">
        <f t="shared" si="37"/>
        <v>294.70996816211482</v>
      </c>
      <c r="K81" s="3">
        <f t="shared" si="50"/>
        <v>310.31604412674346</v>
      </c>
      <c r="L81" s="3">
        <f t="shared" si="38"/>
        <v>14710.300745322649</v>
      </c>
      <c r="M81" s="17">
        <v>1042.0943963309589</v>
      </c>
      <c r="N81" s="3">
        <f t="shared" si="51"/>
        <v>303.46630916259852</v>
      </c>
      <c r="O81" s="3">
        <f t="shared" si="52"/>
        <v>738.62808716836048</v>
      </c>
      <c r="P81" s="5">
        <f t="shared" si="53"/>
        <v>24.142052036264758</v>
      </c>
      <c r="Q81" s="3">
        <f t="shared" si="54"/>
        <v>193.98339323022751</v>
      </c>
      <c r="R81" s="5">
        <f t="shared" si="40"/>
        <v>42.09439633095937</v>
      </c>
      <c r="S81" s="3">
        <f t="shared" si="55"/>
        <v>999.99999999999955</v>
      </c>
      <c r="V81" s="1">
        <f t="shared" si="56"/>
        <v>14</v>
      </c>
      <c r="W81" s="3">
        <f t="shared" si="57"/>
        <v>999.99999999999955</v>
      </c>
      <c r="X81" s="3">
        <f t="shared" si="41"/>
        <v>199.99999999999991</v>
      </c>
      <c r="Y81" s="3">
        <f t="shared" si="58"/>
        <v>90654.733156833638</v>
      </c>
      <c r="Z81" s="3">
        <f t="shared" si="59"/>
        <v>50000</v>
      </c>
      <c r="AA81" s="3">
        <f t="shared" si="60"/>
        <v>40654.733156833638</v>
      </c>
      <c r="AB81" s="6">
        <f t="shared" si="61"/>
        <v>30.595083055029338</v>
      </c>
      <c r="AC81" s="6"/>
      <c r="AD81" s="5">
        <f t="shared" si="62"/>
        <v>2963.0490949731698</v>
      </c>
      <c r="AE81" s="3">
        <f t="shared" si="63"/>
        <v>2538.3325283913418</v>
      </c>
      <c r="AF81" s="3"/>
      <c r="AG81" s="3">
        <f t="shared" si="66"/>
        <v>2538.3325283913418</v>
      </c>
      <c r="AH81" s="3">
        <f t="shared" si="35"/>
        <v>1994.4041294503402</v>
      </c>
      <c r="AI81" s="3">
        <f t="shared" si="43"/>
        <v>95187.469814675322</v>
      </c>
    </row>
    <row r="82" spans="1:48" x14ac:dyDescent="0.25">
      <c r="B82" s="1">
        <f t="shared" si="44"/>
        <v>15</v>
      </c>
      <c r="D82" s="3">
        <f t="shared" si="45"/>
        <v>14710.300745322649</v>
      </c>
      <c r="E82" s="6">
        <f t="shared" si="46"/>
        <v>31.268174882239983</v>
      </c>
      <c r="F82" s="6">
        <f t="shared" si="64"/>
        <v>22.614924467285018</v>
      </c>
      <c r="G82" s="5">
        <f t="shared" si="65"/>
        <v>1494.3543153128765</v>
      </c>
      <c r="H82" s="3">
        <f t="shared" si="36"/>
        <v>411.88842086903418</v>
      </c>
      <c r="I82" s="3">
        <f t="shared" si="49"/>
        <v>307.35113965247331</v>
      </c>
      <c r="J82" s="3">
        <f t="shared" si="37"/>
        <v>307.35113965247331</v>
      </c>
      <c r="K82" s="3">
        <f t="shared" si="50"/>
        <v>323.6266163970983</v>
      </c>
      <c r="L82" s="3">
        <f t="shared" si="38"/>
        <v>15341.27850137222</v>
      </c>
      <c r="M82" s="17">
        <v>0</v>
      </c>
      <c r="N82" s="3">
        <f t="shared" si="51"/>
        <v>0</v>
      </c>
      <c r="O82" s="3">
        <f t="shared" si="52"/>
        <v>0</v>
      </c>
      <c r="P82" s="5">
        <f t="shared" si="53"/>
        <v>0</v>
      </c>
      <c r="Q82" s="3">
        <f t="shared" si="54"/>
        <v>0</v>
      </c>
      <c r="R82" s="5">
        <f t="shared" si="40"/>
        <v>0</v>
      </c>
      <c r="S82" s="3">
        <f t="shared" si="55"/>
        <v>0</v>
      </c>
      <c r="V82" s="1">
        <f t="shared" si="56"/>
        <v>15</v>
      </c>
      <c r="X82" s="3">
        <f t="shared" si="41"/>
        <v>0</v>
      </c>
      <c r="Y82" s="3">
        <f t="shared" si="58"/>
        <v>95187.469814675322</v>
      </c>
      <c r="Z82" s="3">
        <f t="shared" si="59"/>
        <v>50000</v>
      </c>
      <c r="AA82" s="3">
        <f t="shared" si="60"/>
        <v>45187.469814675322</v>
      </c>
      <c r="AB82" s="6">
        <f t="shared" si="61"/>
        <v>31.268174882239983</v>
      </c>
      <c r="AC82" s="6"/>
      <c r="AD82" s="5">
        <f t="shared" si="62"/>
        <v>3044.2285222327087</v>
      </c>
      <c r="AE82" s="3">
        <f t="shared" si="63"/>
        <v>2665.2491548109092</v>
      </c>
      <c r="AF82" s="3"/>
      <c r="AG82" s="3">
        <f t="shared" si="66"/>
        <v>2665.2491548109092</v>
      </c>
      <c r="AH82" s="3">
        <f t="shared" si="35"/>
        <v>2094.1243359228574</v>
      </c>
      <c r="AI82" s="3">
        <f t="shared" si="43"/>
        <v>99946.843305409086</v>
      </c>
    </row>
    <row r="83" spans="1:48" x14ac:dyDescent="0.25">
      <c r="B83" s="1">
        <f t="shared" si="44"/>
        <v>16</v>
      </c>
      <c r="D83" s="3">
        <f t="shared" si="45"/>
        <v>15341.27850137222</v>
      </c>
      <c r="E83" s="6">
        <f t="shared" si="46"/>
        <v>31.956074729649263</v>
      </c>
      <c r="F83" s="6">
        <f t="shared" si="64"/>
        <v>22.674661264959635</v>
      </c>
      <c r="G83" s="5">
        <f t="shared" si="65"/>
        <v>1503.9722406135488</v>
      </c>
      <c r="H83" s="3">
        <f t="shared" si="36"/>
        <v>429.55579803842221</v>
      </c>
      <c r="I83" s="3">
        <f t="shared" si="49"/>
        <v>320.53453649627062</v>
      </c>
      <c r="J83" s="3">
        <f t="shared" si="37"/>
        <v>320.53453649627062</v>
      </c>
      <c r="K83" s="3">
        <f t="shared" si="50"/>
        <v>337.50812703018886</v>
      </c>
      <c r="L83" s="3">
        <f t="shared" si="38"/>
        <v>15999.32116489868</v>
      </c>
      <c r="M83" s="17">
        <v>0</v>
      </c>
      <c r="N83" s="3">
        <f t="shared" si="51"/>
        <v>0</v>
      </c>
      <c r="O83" s="3">
        <f t="shared" si="52"/>
        <v>0</v>
      </c>
      <c r="P83" s="5">
        <f t="shared" si="53"/>
        <v>0</v>
      </c>
      <c r="Q83" s="3">
        <f t="shared" si="54"/>
        <v>0</v>
      </c>
      <c r="R83" s="5">
        <f t="shared" si="40"/>
        <v>0</v>
      </c>
      <c r="S83" s="3">
        <f t="shared" si="55"/>
        <v>0</v>
      </c>
      <c r="V83" s="1">
        <f t="shared" si="56"/>
        <v>16</v>
      </c>
      <c r="X83" s="3">
        <f t="shared" si="41"/>
        <v>0</v>
      </c>
      <c r="Y83" s="3">
        <f t="shared" si="58"/>
        <v>99946.843305409086</v>
      </c>
      <c r="Z83" s="3">
        <f t="shared" si="59"/>
        <v>50000</v>
      </c>
      <c r="AA83" s="3">
        <f t="shared" si="60"/>
        <v>49946.843305409086</v>
      </c>
      <c r="AB83" s="6">
        <f t="shared" si="61"/>
        <v>31.956074729649263</v>
      </c>
      <c r="AC83" s="6"/>
      <c r="AD83" s="5">
        <f t="shared" si="62"/>
        <v>3127.632043389769</v>
      </c>
      <c r="AE83" s="3">
        <f t="shared" si="63"/>
        <v>2798.5116125514546</v>
      </c>
      <c r="AF83" s="3"/>
      <c r="AG83" s="3">
        <f t="shared" si="66"/>
        <v>2798.5116125514546</v>
      </c>
      <c r="AH83" s="3">
        <f t="shared" si="35"/>
        <v>2198.830552719</v>
      </c>
      <c r="AI83" s="3">
        <f t="shared" si="43"/>
        <v>104944.18547067954</v>
      </c>
    </row>
    <row r="84" spans="1:48" x14ac:dyDescent="0.25">
      <c r="B84" s="1">
        <f t="shared" si="44"/>
        <v>17</v>
      </c>
      <c r="D84" s="3">
        <f t="shared" si="45"/>
        <v>15999.32116489868</v>
      </c>
      <c r="E84" s="6">
        <f t="shared" si="46"/>
        <v>32.65910837370155</v>
      </c>
      <c r="F84" s="6">
        <f t="shared" si="64"/>
        <v>22.739394873163992</v>
      </c>
      <c r="G84" s="5">
        <f t="shared" si="65"/>
        <v>1513.7867931980395</v>
      </c>
      <c r="H84" s="3">
        <f t="shared" si="36"/>
        <v>447.98099261716305</v>
      </c>
      <c r="I84" s="3">
        <f t="shared" si="49"/>
        <v>334.28341669092708</v>
      </c>
      <c r="J84" s="3">
        <f t="shared" si="37"/>
        <v>0</v>
      </c>
      <c r="K84" s="3">
        <f t="shared" si="50"/>
        <v>351.98506562777101</v>
      </c>
      <c r="L84" s="3">
        <f t="shared" si="38"/>
        <v>16685.589647217377</v>
      </c>
      <c r="M84" s="17">
        <v>0</v>
      </c>
      <c r="N84" s="3">
        <f t="shared" si="51"/>
        <v>0</v>
      </c>
      <c r="O84" s="3">
        <f t="shared" si="52"/>
        <v>0</v>
      </c>
      <c r="P84" s="5">
        <f t="shared" si="53"/>
        <v>0</v>
      </c>
      <c r="Q84" s="3">
        <f t="shared" si="54"/>
        <v>0</v>
      </c>
      <c r="R84" s="5">
        <f t="shared" si="40"/>
        <v>0</v>
      </c>
      <c r="S84" s="3">
        <f t="shared" si="55"/>
        <v>0</v>
      </c>
      <c r="V84" s="1">
        <f t="shared" si="56"/>
        <v>17</v>
      </c>
      <c r="X84" s="3">
        <f t="shared" si="41"/>
        <v>0</v>
      </c>
      <c r="Y84" s="3">
        <f t="shared" si="58"/>
        <v>104944.18547067954</v>
      </c>
      <c r="Z84" s="3">
        <f t="shared" si="59"/>
        <v>50000</v>
      </c>
      <c r="AA84" s="3">
        <f t="shared" si="60"/>
        <v>54944.185470679542</v>
      </c>
      <c r="AB84" s="6">
        <f>AB83*(1+$E$3)</f>
        <v>32.65910837370155</v>
      </c>
      <c r="AC84" s="6"/>
      <c r="AD84" s="5">
        <f t="shared" si="62"/>
        <v>3213.3205925237353</v>
      </c>
      <c r="AE84" s="3">
        <f t="shared" si="63"/>
        <v>2938.4371931790274</v>
      </c>
      <c r="AF84" s="3"/>
      <c r="AG84" s="3">
        <f>AE84-AM85</f>
        <v>0</v>
      </c>
      <c r="AH84" s="3">
        <f t="shared" si="35"/>
        <v>2308.77208035495</v>
      </c>
      <c r="AI84" s="3">
        <f t="shared" si="43"/>
        <v>110191.39474421351</v>
      </c>
    </row>
    <row r="85" spans="1:48" x14ac:dyDescent="0.25">
      <c r="A85" s="20" t="s">
        <v>47</v>
      </c>
      <c r="B85" s="8">
        <f t="shared" si="44"/>
        <v>18</v>
      </c>
      <c r="C85" s="8"/>
      <c r="D85" s="11">
        <f t="shared" si="45"/>
        <v>12247.838959948458</v>
      </c>
      <c r="E85" s="12">
        <f t="shared" si="46"/>
        <v>33.377608757922985</v>
      </c>
      <c r="F85" s="12">
        <f t="shared" si="64"/>
        <v>22.739394873163992</v>
      </c>
      <c r="G85" s="13">
        <f t="shared" si="65"/>
        <v>1513.7867931980395</v>
      </c>
      <c r="H85" s="11">
        <f t="shared" si="36"/>
        <v>342.93949087855685</v>
      </c>
      <c r="I85" s="11">
        <f t="shared" si="49"/>
        <v>255.90144809357912</v>
      </c>
      <c r="J85" s="11">
        <f t="shared" si="37"/>
        <v>0</v>
      </c>
      <c r="K85" s="11">
        <f t="shared" si="50"/>
        <v>269.45245711886611</v>
      </c>
      <c r="L85" s="11">
        <f t="shared" si="38"/>
        <v>12773.192865160903</v>
      </c>
      <c r="M85" s="17">
        <v>4437.7506872689191</v>
      </c>
      <c r="N85" s="11">
        <f>MIN(M85,I84)</f>
        <v>334.28341669092708</v>
      </c>
      <c r="O85" s="11">
        <f>M85-N85</f>
        <v>4103.4672705779922</v>
      </c>
      <c r="P85" s="13">
        <f>O85/E85</f>
        <v>122.9407205393027</v>
      </c>
      <c r="Q85" s="11">
        <f>(E85-F85)*P85</f>
        <v>1307.8696802434852</v>
      </c>
      <c r="R85" s="11">
        <f t="shared" si="40"/>
        <v>283.80772061283631</v>
      </c>
      <c r="S85" s="11">
        <f>M85-R85</f>
        <v>4153.9429666560827</v>
      </c>
      <c r="U85" s="20" t="s">
        <v>47</v>
      </c>
      <c r="V85" s="8">
        <f t="shared" si="56"/>
        <v>18</v>
      </c>
      <c r="W85" s="8"/>
      <c r="X85" s="8"/>
      <c r="Y85" s="11">
        <f t="shared" si="58"/>
        <v>80595.892678549484</v>
      </c>
      <c r="Z85" s="11">
        <f t="shared" si="59"/>
        <v>36570.865114120817</v>
      </c>
      <c r="AA85" s="11">
        <f>Y85-Z85</f>
        <v>44025.027564428667</v>
      </c>
      <c r="AB85" s="12">
        <f>AB84*(1+$E$3)</f>
        <v>33.377608757922985</v>
      </c>
      <c r="AC85" s="12"/>
      <c r="AD85" s="13">
        <f t="shared" si="62"/>
        <v>2414.6694648824446</v>
      </c>
      <c r="AE85" s="11">
        <f t="shared" si="63"/>
        <v>2256.6849949993857</v>
      </c>
      <c r="AF85" s="11"/>
      <c r="AG85" s="11">
        <f t="shared" ref="AG85:AG88" si="67">AE85-AM86</f>
        <v>0</v>
      </c>
      <c r="AH85" s="11">
        <f t="shared" si="35"/>
        <v>1773.1096389280888</v>
      </c>
      <c r="AI85" s="11">
        <f t="shared" si="43"/>
        <v>84625.687312476963</v>
      </c>
      <c r="AJ85" s="17">
        <v>29595.502065664034</v>
      </c>
      <c r="AK85" s="11">
        <f>AJ85*(Z84/(Y84+AE84+AH84))</f>
        <v>13429.134885879183</v>
      </c>
      <c r="AL85" s="11">
        <f>AJ85*(AA84+AE84+AH84)/(Y84+AE84+AH84)</f>
        <v>16166.367179784853</v>
      </c>
      <c r="AM85" s="11">
        <f>MIN(AE84,AL85)</f>
        <v>2938.4371931790274</v>
      </c>
      <c r="AN85" s="11">
        <f>AL85-AM85</f>
        <v>13227.929986605825</v>
      </c>
      <c r="AO85" s="8"/>
      <c r="AP85" s="8"/>
      <c r="AQ85" s="13">
        <f>AN85/AB85+AK85/AB85</f>
        <v>798.65112764129049</v>
      </c>
      <c r="AR85" s="8"/>
      <c r="AS85" s="11">
        <f>IF((AL85-$AF$6)&lt;0,0,(AL85-$AF$6)*$AF$5)</f>
        <v>908.53911954686305</v>
      </c>
      <c r="AT85" s="11">
        <f>AJ85-AS85</f>
        <v>28686.962946117172</v>
      </c>
    </row>
    <row r="86" spans="1:48" x14ac:dyDescent="0.25">
      <c r="A86" s="20" t="s">
        <v>47</v>
      </c>
      <c r="B86" s="8">
        <f t="shared" si="44"/>
        <v>19</v>
      </c>
      <c r="C86" s="8"/>
      <c r="D86" s="11">
        <f t="shared" si="45"/>
        <v>8335.4421778919859</v>
      </c>
      <c r="E86" s="12">
        <f t="shared" si="46"/>
        <v>34.111916150597288</v>
      </c>
      <c r="F86" s="12">
        <f t="shared" si="64"/>
        <v>22.739394873163992</v>
      </c>
      <c r="G86" s="13">
        <f t="shared" si="65"/>
        <v>1513.7867931980395</v>
      </c>
      <c r="H86" s="11">
        <f t="shared" si="36"/>
        <v>233.39238098097562</v>
      </c>
      <c r="I86" s="11">
        <f t="shared" si="49"/>
        <v>174.15739468800399</v>
      </c>
      <c r="J86" s="11">
        <f t="shared" si="37"/>
        <v>0</v>
      </c>
      <c r="K86" s="11">
        <f t="shared" si="50"/>
        <v>183.3797279136237</v>
      </c>
      <c r="L86" s="11">
        <f t="shared" si="38"/>
        <v>8692.9793004936128</v>
      </c>
      <c r="M86" s="11">
        <f>M85</f>
        <v>4437.7506872689191</v>
      </c>
      <c r="N86" s="11">
        <f t="shared" ref="N86:N88" si="68">MIN(M86,I85)</f>
        <v>255.90144809357912</v>
      </c>
      <c r="O86" s="11">
        <f t="shared" ref="O86:O88" si="69">M86-N86</f>
        <v>4181.8492391753398</v>
      </c>
      <c r="P86" s="13">
        <f>O86/E86</f>
        <v>122.59203560167396</v>
      </c>
      <c r="Q86" s="11">
        <f>(E86-F86)*P86</f>
        <v>1394.1805333238972</v>
      </c>
      <c r="R86" s="11">
        <f t="shared" si="40"/>
        <v>302.53717573128569</v>
      </c>
      <c r="S86" s="11">
        <f t="shared" ref="S86:S88" si="70">M86-R86</f>
        <v>4135.2135115376332</v>
      </c>
      <c r="U86" s="20" t="s">
        <v>47</v>
      </c>
      <c r="V86" s="8">
        <f>V85+1</f>
        <v>19</v>
      </c>
      <c r="W86" s="8"/>
      <c r="X86" s="8"/>
      <c r="Y86" s="11">
        <f t="shared" si="58"/>
        <v>55030.185246812929</v>
      </c>
      <c r="Z86" s="11">
        <f>W86+Z85-AK86</f>
        <v>23781.212841854933</v>
      </c>
      <c r="AA86" s="11">
        <f>Y86-Z86</f>
        <v>31248.972404957996</v>
      </c>
      <c r="AB86" s="12">
        <f>AB85*(1+$E$3)</f>
        <v>34.111916150597288</v>
      </c>
      <c r="AC86" s="12"/>
      <c r="AD86" s="13">
        <f t="shared" si="62"/>
        <v>1613.2246867594793</v>
      </c>
      <c r="AE86" s="11">
        <f t="shared" si="63"/>
        <v>1540.8451869107621</v>
      </c>
      <c r="AF86" s="11"/>
      <c r="AG86" s="11">
        <f t="shared" si="67"/>
        <v>0</v>
      </c>
      <c r="AH86" s="11">
        <f t="shared" si="35"/>
        <v>1210.6640754298846</v>
      </c>
      <c r="AI86" s="11">
        <f t="shared" si="43"/>
        <v>57781.694509153574</v>
      </c>
      <c r="AJ86" s="11">
        <f>AJ85</f>
        <v>29595.502065664034</v>
      </c>
      <c r="AK86" s="11">
        <f>AJ86*(Z85/(Y85+AE85+AH85))</f>
        <v>12789.652272265886</v>
      </c>
      <c r="AL86" s="11">
        <f>AJ86*(AA85+AE85+AH85)/(Y85+AE85+AH85)</f>
        <v>16805.849793398145</v>
      </c>
      <c r="AM86" s="11">
        <f>MIN(AE85,AL86)</f>
        <v>2256.6849949993857</v>
      </c>
      <c r="AN86" s="11">
        <f>AL86-AM86</f>
        <v>14549.16479839876</v>
      </c>
      <c r="AO86" s="8"/>
      <c r="AP86" s="8"/>
      <c r="AQ86" s="13">
        <f>AN86/AB86+AK86/AB86</f>
        <v>801.44477812296554</v>
      </c>
      <c r="AR86" s="8"/>
      <c r="AS86" s="11">
        <f t="shared" ref="AS86:AS88" si="71">IF((AL86-$AF$6)&lt;0,0,(AL86-$AF$6)*$AF$5)</f>
        <v>1036.7553835763281</v>
      </c>
      <c r="AT86" s="11">
        <f>AJ86-AS86</f>
        <v>28558.746682087705</v>
      </c>
    </row>
    <row r="87" spans="1:48" x14ac:dyDescent="0.25">
      <c r="A87" s="20" t="s">
        <v>47</v>
      </c>
      <c r="B87" s="8">
        <f t="shared" si="44"/>
        <v>20</v>
      </c>
      <c r="C87" s="8"/>
      <c r="D87" s="11">
        <f t="shared" si="45"/>
        <v>4255.2286132246945</v>
      </c>
      <c r="E87" s="12">
        <f t="shared" si="46"/>
        <v>34.862378305910433</v>
      </c>
      <c r="F87" s="12">
        <f t="shared" si="64"/>
        <v>22.739394873163992</v>
      </c>
      <c r="G87" s="13">
        <f t="shared" si="65"/>
        <v>1513.7867931980395</v>
      </c>
      <c r="H87" s="11">
        <f t="shared" si="36"/>
        <v>119.14640117029145</v>
      </c>
      <c r="I87" s="11">
        <f t="shared" si="49"/>
        <v>88.907044553271476</v>
      </c>
      <c r="J87" s="11">
        <f t="shared" si="37"/>
        <v>0</v>
      </c>
      <c r="K87" s="11">
        <f t="shared" si="50"/>
        <v>93.615029490943286</v>
      </c>
      <c r="L87" s="11">
        <f t="shared" si="38"/>
        <v>4437.7506872689091</v>
      </c>
      <c r="M87" s="11">
        <f>M86</f>
        <v>4437.7506872689191</v>
      </c>
      <c r="N87" s="11">
        <f t="shared" si="68"/>
        <v>174.15739468800399</v>
      </c>
      <c r="O87" s="11">
        <f t="shared" si="69"/>
        <v>4263.5932925809147</v>
      </c>
      <c r="P87" s="13">
        <f>O87/E87</f>
        <v>122.29783221238471</v>
      </c>
      <c r="Q87" s="11">
        <f>(E87-F87)*P87</f>
        <v>1482.6145937715437</v>
      </c>
      <c r="R87" s="11">
        <f t="shared" si="40"/>
        <v>321.72736684842499</v>
      </c>
      <c r="S87" s="11">
        <f t="shared" si="70"/>
        <v>4116.0233204204942</v>
      </c>
      <c r="U87" s="20" t="s">
        <v>47</v>
      </c>
      <c r="V87" s="8">
        <f t="shared" si="56"/>
        <v>20</v>
      </c>
      <c r="W87" s="8"/>
      <c r="X87" s="8"/>
      <c r="Y87" s="11">
        <f t="shared" si="58"/>
        <v>28186.192443489548</v>
      </c>
      <c r="Z87" s="11">
        <f t="shared" ref="Z87:Z88" si="72">W87+Z86-AK87</f>
        <v>11600.591630173134</v>
      </c>
      <c r="AA87" s="11">
        <f t="shared" ref="AA87:AA88" si="73">Y87-Z87</f>
        <v>16585.600813316414</v>
      </c>
      <c r="AB87" s="12">
        <f t="shared" ref="AB87:AB88" si="74">AB86*(1+$E$3)</f>
        <v>34.862378305910433</v>
      </c>
      <c r="AC87" s="12"/>
      <c r="AD87" s="13">
        <f t="shared" si="62"/>
        <v>808.498840674647</v>
      </c>
      <c r="AE87" s="11">
        <f t="shared" si="63"/>
        <v>789.21338841770739</v>
      </c>
      <c r="AF87" s="11"/>
      <c r="AG87" s="11">
        <f t="shared" si="67"/>
        <v>0</v>
      </c>
      <c r="AH87" s="11">
        <f t="shared" si="35"/>
        <v>620.09623375677018</v>
      </c>
      <c r="AI87" s="11">
        <f t="shared" si="43"/>
        <v>29595.502065664026</v>
      </c>
      <c r="AJ87" s="11">
        <f>AJ86</f>
        <v>29595.502065664034</v>
      </c>
      <c r="AK87" s="11">
        <f>AJ87*(Z86/(Y86+AE86+AH86))</f>
        <v>12180.621211681799</v>
      </c>
      <c r="AL87" s="11">
        <f>AJ87*(AA86+AE86+AH86)/(Y86+AE86+AH86)</f>
        <v>17414.880853982235</v>
      </c>
      <c r="AM87" s="11">
        <f t="shared" ref="AM87:AM88" si="75">MIN(AE86,AL87)</f>
        <v>1540.8451869107621</v>
      </c>
      <c r="AN87" s="11">
        <f t="shared" ref="AN87:AN88" si="76">AL87-AM87</f>
        <v>15874.035667071472</v>
      </c>
      <c r="AO87" s="8"/>
      <c r="AP87" s="8"/>
      <c r="AQ87" s="13">
        <f t="shared" ref="AQ87:AQ88" si="77">AN87/AB87+AK87/AB87</f>
        <v>804.72584608483214</v>
      </c>
      <c r="AR87" s="8"/>
      <c r="AS87" s="11">
        <f t="shared" si="71"/>
        <v>1158.8661112234381</v>
      </c>
      <c r="AT87" s="11">
        <f t="shared" ref="AT87:AT88" si="78">AJ87-AS87</f>
        <v>28436.635954440597</v>
      </c>
    </row>
    <row r="88" spans="1:48" x14ac:dyDescent="0.25">
      <c r="A88" s="20" t="s">
        <v>47</v>
      </c>
      <c r="B88" s="8">
        <f t="shared" si="44"/>
        <v>21</v>
      </c>
      <c r="C88" s="8"/>
      <c r="D88" s="11">
        <f t="shared" si="45"/>
        <v>-1.0004441719502211E-11</v>
      </c>
      <c r="E88" s="12">
        <f t="shared" si="46"/>
        <v>35.629350628640459</v>
      </c>
      <c r="F88" s="12">
        <f t="shared" si="64"/>
        <v>22.739394873163992</v>
      </c>
      <c r="G88" s="13">
        <f t="shared" si="65"/>
        <v>1513.7867931980395</v>
      </c>
      <c r="H88" s="11">
        <f t="shared" si="36"/>
        <v>-2.8012436814606189E-13</v>
      </c>
      <c r="I88" s="11">
        <f t="shared" si="49"/>
        <v>-2.0902880351059138E-13</v>
      </c>
      <c r="J88" s="11">
        <f t="shared" si="37"/>
        <v>-2.0902880351059138E-13</v>
      </c>
      <c r="K88" s="11">
        <f t="shared" si="50"/>
        <v>-2.2009771782904865E-13</v>
      </c>
      <c r="L88" s="11">
        <f t="shared" si="38"/>
        <v>-1.0433568240841852E-11</v>
      </c>
      <c r="M88" s="11">
        <f>M87</f>
        <v>4437.7506872689191</v>
      </c>
      <c r="N88" s="11">
        <f t="shared" si="68"/>
        <v>88.907044553271476</v>
      </c>
      <c r="O88" s="11">
        <f t="shared" si="69"/>
        <v>4348.8436427156475</v>
      </c>
      <c r="P88" s="13">
        <f>O88/E88</f>
        <v>122.05789794046522</v>
      </c>
      <c r="Q88" s="11">
        <f>(E88-F88)*P88</f>
        <v>1573.3209040590591</v>
      </c>
      <c r="R88" s="11">
        <f t="shared" si="40"/>
        <v>341.4106361808158</v>
      </c>
      <c r="S88" s="11">
        <f t="shared" si="70"/>
        <v>4096.3400510881038</v>
      </c>
      <c r="U88" s="20" t="s">
        <v>47</v>
      </c>
      <c r="V88" s="8">
        <f t="shared" si="56"/>
        <v>21</v>
      </c>
      <c r="W88" s="8"/>
      <c r="X88" s="8"/>
      <c r="Y88" s="11">
        <f t="shared" si="58"/>
        <v>0</v>
      </c>
      <c r="Z88" s="11">
        <f t="shared" si="72"/>
        <v>0</v>
      </c>
      <c r="AA88" s="11">
        <f t="shared" si="73"/>
        <v>0</v>
      </c>
      <c r="AB88" s="12">
        <f t="shared" si="74"/>
        <v>35.629350628640459</v>
      </c>
      <c r="AC88" s="12"/>
      <c r="AD88" s="13">
        <f t="shared" si="62"/>
        <v>0</v>
      </c>
      <c r="AE88" s="11">
        <f t="shared" si="63"/>
        <v>0</v>
      </c>
      <c r="AF88" s="11"/>
      <c r="AG88" s="11">
        <f t="shared" si="67"/>
        <v>0</v>
      </c>
      <c r="AH88" s="11">
        <f t="shared" si="35"/>
        <v>0</v>
      </c>
      <c r="AI88" s="11">
        <f t="shared" si="43"/>
        <v>0</v>
      </c>
      <c r="AJ88" s="11">
        <f>AJ87</f>
        <v>29595.502065664034</v>
      </c>
      <c r="AK88" s="11">
        <f>AJ88*(Z87/(Y87+AE87+AH87))</f>
        <v>11600.591630173136</v>
      </c>
      <c r="AL88" s="11">
        <f>AJ88*(AA87+AE87+AH87)/(Y87+AE87+AH87)</f>
        <v>17994.910435490896</v>
      </c>
      <c r="AM88" s="11">
        <f t="shared" si="75"/>
        <v>789.21338841770739</v>
      </c>
      <c r="AN88" s="11">
        <f t="shared" si="76"/>
        <v>17205.69704707319</v>
      </c>
      <c r="AO88" s="8"/>
      <c r="AP88" s="8"/>
      <c r="AQ88" s="13">
        <f t="shared" si="77"/>
        <v>808.49884067464723</v>
      </c>
      <c r="AR88" s="8"/>
      <c r="AS88" s="11">
        <f t="shared" si="71"/>
        <v>1275.1620423159247</v>
      </c>
      <c r="AT88" s="11">
        <f t="shared" si="78"/>
        <v>28320.340023348108</v>
      </c>
    </row>
    <row r="89" spans="1:48" x14ac:dyDescent="0.25">
      <c r="A89" s="1" t="s">
        <v>56</v>
      </c>
      <c r="B89" s="3"/>
      <c r="C89" s="3">
        <f>SUM(C67:C88)</f>
        <v>33500</v>
      </c>
      <c r="D89" s="3"/>
      <c r="E89" s="3"/>
      <c r="F89" s="3"/>
      <c r="G89" s="3"/>
      <c r="H89" s="3">
        <f>SUM(H67:H88)</f>
        <v>12150.143450434643</v>
      </c>
      <c r="I89" s="3">
        <f>SUM(I67:I88)</f>
        <v>9066.4370427143313</v>
      </c>
      <c r="J89" s="3"/>
      <c r="K89" s="3">
        <f>SUM(K67:K88)</f>
        <v>9546.5412824843661</v>
      </c>
      <c r="L89" s="3"/>
      <c r="M89" s="3"/>
      <c r="N89" s="3"/>
      <c r="O89" s="3"/>
      <c r="P89" s="5"/>
      <c r="Q89" s="3"/>
      <c r="R89" s="3">
        <f>SUM(R67:R88)</f>
        <v>2111.4584754963898</v>
      </c>
      <c r="S89" s="3">
        <f>SUM(S67:S88)</f>
        <v>50001.519849702316</v>
      </c>
      <c r="U89" s="1" t="s">
        <v>56</v>
      </c>
      <c r="W89" s="3">
        <f>SUM(W67:W88)</f>
        <v>50000</v>
      </c>
      <c r="X89" s="3">
        <f>SUM(X67:X88)</f>
        <v>7200</v>
      </c>
      <c r="Y89" s="3"/>
      <c r="Z89" s="3"/>
      <c r="AA89" s="3"/>
      <c r="AB89" s="6"/>
      <c r="AC89" s="6"/>
      <c r="AD89" s="5"/>
      <c r="AE89" s="3">
        <f>SUM(AE67:AE88)</f>
        <v>34261.924627087414</v>
      </c>
      <c r="AF89" s="3"/>
      <c r="AG89" s="3"/>
      <c r="AH89" s="3">
        <f>SUM(AH67:AH88)</f>
        <v>26920.083635568681</v>
      </c>
      <c r="AI89" s="3"/>
      <c r="AJ89" s="3"/>
      <c r="AS89" s="3">
        <f>SUM(AS67:AS88)</f>
        <v>4379.3226566625544</v>
      </c>
      <c r="AT89" s="3">
        <f>SUM(AT67:AT88)</f>
        <v>114002.68560599358</v>
      </c>
      <c r="AV89" s="3"/>
    </row>
    <row r="90" spans="1:48" x14ac:dyDescent="0.25">
      <c r="A90" s="1" t="s">
        <v>62</v>
      </c>
      <c r="C90" s="3">
        <f>SUM(C67:C84)</f>
        <v>33500</v>
      </c>
      <c r="D90" s="3"/>
      <c r="G90" s="5"/>
      <c r="H90" s="3">
        <f>SUM(H67:H84)</f>
        <v>11454.66517740482</v>
      </c>
      <c r="I90" s="3">
        <f>SUM(I67:I84)</f>
        <v>8547.4711553794787</v>
      </c>
      <c r="K90" s="3">
        <f>SUM(K67:K84)</f>
        <v>9000.0940679609321</v>
      </c>
      <c r="R90" s="3">
        <f>SUM(R67:R84)</f>
        <v>861.97557612302671</v>
      </c>
      <c r="S90" s="3">
        <f>SUM(S67:S84)</f>
        <v>33500</v>
      </c>
      <c r="U90" s="1" t="s">
        <v>62</v>
      </c>
      <c r="W90" s="3">
        <f>SUM(W67:W84)</f>
        <v>50000</v>
      </c>
      <c r="X90" s="3">
        <f>SUM(X67:X84)</f>
        <v>7200</v>
      </c>
      <c r="Y90" s="3"/>
      <c r="Z90" s="3"/>
      <c r="AA90" s="3"/>
      <c r="AB90" s="6"/>
      <c r="AC90" s="6"/>
      <c r="AD90" s="5"/>
      <c r="AE90" s="3">
        <f>SUM(AE67:AE84)</f>
        <v>29675.181056759557</v>
      </c>
      <c r="AF90" s="3"/>
      <c r="AG90" s="3"/>
      <c r="AH90" s="3">
        <f>SUM(AH67:AH84)</f>
        <v>23316.213687453936</v>
      </c>
      <c r="AI90" s="3"/>
      <c r="AJ90" s="3"/>
      <c r="AS90" s="3">
        <f>SUM(AS67:AS84)</f>
        <v>0</v>
      </c>
      <c r="AT90" s="3">
        <f>SUM(AT67:AT84)</f>
        <v>0</v>
      </c>
      <c r="AV90" s="3"/>
    </row>
    <row r="91" spans="1:48" x14ac:dyDescent="0.25">
      <c r="A91" s="1" t="s">
        <v>47</v>
      </c>
      <c r="C91" s="3">
        <f>SUM(C85:C88)</f>
        <v>0</v>
      </c>
      <c r="D91" s="3"/>
      <c r="G91" s="5"/>
      <c r="H91" s="3">
        <f>SUM(H85:H88)</f>
        <v>695.47827302982375</v>
      </c>
      <c r="I91" s="3">
        <f>SUM(I85:I88)</f>
        <v>518.96588733485441</v>
      </c>
      <c r="K91" s="3">
        <f>SUM(K85:K88)</f>
        <v>546.44721452343288</v>
      </c>
      <c r="R91" s="3">
        <f>SUM(R85:R88)</f>
        <v>1249.4828993733627</v>
      </c>
      <c r="S91" s="3">
        <f>SUM(S85:S88)</f>
        <v>16501.519849702316</v>
      </c>
      <c r="U91" s="1" t="s">
        <v>47</v>
      </c>
      <c r="W91" s="3">
        <f>SUM(W85:W88)</f>
        <v>0</v>
      </c>
      <c r="X91" s="3">
        <f>SUM(X85:X88)</f>
        <v>0</v>
      </c>
      <c r="AD91" s="5"/>
      <c r="AE91" s="3">
        <f>SUM(AE85:AE88)</f>
        <v>4586.7435703278552</v>
      </c>
      <c r="AH91" s="3">
        <f>SUM(AH85:AH88)</f>
        <v>3603.8699481147437</v>
      </c>
      <c r="AS91" s="3">
        <f>SUM(AS85:AS88)</f>
        <v>4379.3226566625544</v>
      </c>
      <c r="AT91" s="3">
        <f>SUM(AT85:AT88)</f>
        <v>114002.68560599358</v>
      </c>
      <c r="AV91" s="3">
        <f>AT91+S91</f>
        <v>130504.20545569589</v>
      </c>
    </row>
    <row r="92" spans="1:48" x14ac:dyDescent="0.25">
      <c r="D92" s="3"/>
      <c r="S92" s="3">
        <f>SUM(S85:S88)</f>
        <v>16501.519849702316</v>
      </c>
      <c r="Y92" s="3"/>
      <c r="Z92" s="3"/>
      <c r="AA92" s="3"/>
      <c r="AB92" s="6"/>
      <c r="AC92" s="6"/>
      <c r="AD92" s="5"/>
      <c r="AE92" s="3"/>
      <c r="AF92" s="3"/>
      <c r="AG92" s="3"/>
      <c r="AH92" s="3"/>
      <c r="AI92" s="3"/>
      <c r="AJ92" s="3"/>
      <c r="AT92" s="3">
        <f>SUM(AT85:AT88)</f>
        <v>114002.68560599358</v>
      </c>
      <c r="AV92" s="3">
        <f>AT92+S92</f>
        <v>130504.20545569589</v>
      </c>
    </row>
    <row r="93" spans="1:48" x14ac:dyDescent="0.25">
      <c r="S93" s="3">
        <f>S89-S92</f>
        <v>33500</v>
      </c>
      <c r="Y93" s="3"/>
      <c r="Z93" s="3"/>
      <c r="AA93" s="3"/>
      <c r="AB93" s="6"/>
      <c r="AC93" s="6"/>
      <c r="AD93" s="5"/>
      <c r="AE93" s="3"/>
      <c r="AF93" s="3"/>
      <c r="AG93" s="3"/>
      <c r="AH93" s="3"/>
      <c r="AI93" s="3"/>
      <c r="AT93" s="3"/>
    </row>
    <row r="94" spans="1:48" s="7" customFormat="1" ht="83.25" customHeight="1" x14ac:dyDescent="0.25">
      <c r="A94" s="19" t="s">
        <v>35</v>
      </c>
      <c r="B94" s="10"/>
      <c r="C94" s="10" t="s">
        <v>23</v>
      </c>
      <c r="D94" s="10" t="s">
        <v>22</v>
      </c>
      <c r="E94" s="10" t="s">
        <v>29</v>
      </c>
      <c r="F94" s="10" t="s">
        <v>9</v>
      </c>
      <c r="G94" s="10" t="s">
        <v>11</v>
      </c>
      <c r="H94" s="10" t="s">
        <v>4</v>
      </c>
      <c r="I94" s="10" t="s">
        <v>6</v>
      </c>
      <c r="J94" s="10" t="s">
        <v>32</v>
      </c>
      <c r="K94" s="10" t="s">
        <v>5</v>
      </c>
      <c r="L94" s="10" t="s">
        <v>46</v>
      </c>
      <c r="M94" s="10" t="s">
        <v>19</v>
      </c>
      <c r="N94" s="10" t="s">
        <v>30</v>
      </c>
      <c r="O94" s="10" t="s">
        <v>18</v>
      </c>
      <c r="P94" s="10" t="s">
        <v>17</v>
      </c>
      <c r="Q94" s="10" t="s">
        <v>14</v>
      </c>
      <c r="R94" s="10" t="s">
        <v>54</v>
      </c>
      <c r="S94" s="10" t="s">
        <v>20</v>
      </c>
      <c r="V94" s="10"/>
      <c r="W94" s="10" t="s">
        <v>23</v>
      </c>
      <c r="X94" s="10" t="s">
        <v>24</v>
      </c>
      <c r="Y94" s="10" t="s">
        <v>22</v>
      </c>
      <c r="Z94" s="10" t="s">
        <v>25</v>
      </c>
      <c r="AA94" s="10" t="s">
        <v>26</v>
      </c>
      <c r="AB94" s="10" t="s">
        <v>29</v>
      </c>
      <c r="AC94" s="10" t="s">
        <v>9</v>
      </c>
      <c r="AD94" s="10" t="s">
        <v>11</v>
      </c>
      <c r="AE94" s="10" t="s">
        <v>4</v>
      </c>
      <c r="AF94" s="10" t="s">
        <v>6</v>
      </c>
      <c r="AG94" s="10" t="s">
        <v>32</v>
      </c>
      <c r="AH94" s="10" t="s">
        <v>5</v>
      </c>
      <c r="AI94" s="10" t="s">
        <v>46</v>
      </c>
      <c r="AJ94" s="10" t="s">
        <v>19</v>
      </c>
      <c r="AK94" s="10" t="s">
        <v>27</v>
      </c>
      <c r="AL94" s="10" t="s">
        <v>28</v>
      </c>
      <c r="AM94" s="10" t="s">
        <v>30</v>
      </c>
      <c r="AN94" s="10" t="s">
        <v>31</v>
      </c>
      <c r="AO94" s="10" t="s">
        <v>21</v>
      </c>
      <c r="AP94" s="10" t="s">
        <v>18</v>
      </c>
      <c r="AQ94" s="10" t="s">
        <v>17</v>
      </c>
      <c r="AR94" s="10" t="s">
        <v>14</v>
      </c>
      <c r="AS94" s="10" t="s">
        <v>54</v>
      </c>
      <c r="AT94" s="10" t="s">
        <v>20</v>
      </c>
    </row>
    <row r="95" spans="1:48" x14ac:dyDescent="0.25">
      <c r="B95" s="1">
        <v>0</v>
      </c>
      <c r="C95" s="3">
        <f>50000-W95</f>
        <v>2500</v>
      </c>
      <c r="D95" s="3">
        <f>C95</f>
        <v>2500</v>
      </c>
      <c r="E95" s="6">
        <v>22.56</v>
      </c>
      <c r="F95" s="6">
        <v>22.56</v>
      </c>
      <c r="G95" s="5">
        <f>D95/E95</f>
        <v>110.81560283687944</v>
      </c>
      <c r="H95" s="3">
        <f>D95*$E$2</f>
        <v>70</v>
      </c>
      <c r="I95" s="3">
        <f>H95*(1-$J$3)</f>
        <v>52.233999999999995</v>
      </c>
      <c r="J95" s="3">
        <f>I95-N96</f>
        <v>0</v>
      </c>
      <c r="K95" s="3">
        <f>D95*$E$3</f>
        <v>55.000000000000007</v>
      </c>
      <c r="L95" s="3">
        <f>D95+I95+K95</f>
        <v>2607.2339999999999</v>
      </c>
      <c r="M95" s="3"/>
      <c r="V95" s="1">
        <v>0</v>
      </c>
      <c r="W95" s="3">
        <v>47500</v>
      </c>
      <c r="X95" s="3">
        <f>MIN(W95*20%,500)</f>
        <v>500</v>
      </c>
      <c r="Y95" s="3">
        <f>W95+X95</f>
        <v>48000</v>
      </c>
      <c r="Z95" s="3">
        <f>W95</f>
        <v>47500</v>
      </c>
      <c r="AA95" s="3">
        <f>Y95-Z95</f>
        <v>500</v>
      </c>
      <c r="AB95" s="6">
        <v>22.56</v>
      </c>
      <c r="AC95" s="6"/>
      <c r="AD95" s="5">
        <f>Y95/AB95</f>
        <v>2127.6595744680853</v>
      </c>
      <c r="AE95" s="3">
        <f>Y95*$E$2</f>
        <v>1344</v>
      </c>
      <c r="AF95" s="3"/>
      <c r="AG95" s="3">
        <f>AE95-AM96</f>
        <v>1344</v>
      </c>
      <c r="AH95" s="3">
        <f t="shared" ref="AH95:AH116" si="79">Y95*$E$3</f>
        <v>1056</v>
      </c>
      <c r="AI95" s="3">
        <f>Y95+AE95+AH95</f>
        <v>50400</v>
      </c>
    </row>
    <row r="96" spans="1:48" x14ac:dyDescent="0.25">
      <c r="B96" s="1">
        <f>B95+1</f>
        <v>1</v>
      </c>
      <c r="D96" s="3">
        <f>D95+I95+K95-N96-O96+C96</f>
        <v>95.746253045045705</v>
      </c>
      <c r="E96" s="6">
        <f>E95*(1+$E$3)</f>
        <v>23.056319999999999</v>
      </c>
      <c r="F96" s="6">
        <f>(F95*G95+J95+C96)/G96</f>
        <v>22.56</v>
      </c>
      <c r="G96" s="5">
        <f>G95+(J95+C96)/E96</f>
        <v>110.81560283687944</v>
      </c>
      <c r="H96" s="3">
        <f t="shared" ref="H96:H116" si="80">D96*$E$2</f>
        <v>2.6808950852612798</v>
      </c>
      <c r="I96" s="3">
        <f>H96*(1-$J$3)</f>
        <v>2.0004839126219669</v>
      </c>
      <c r="J96" s="3">
        <f t="shared" ref="J96:J116" si="81">I96-N97</f>
        <v>2.0004839126219669</v>
      </c>
      <c r="K96" s="3">
        <f>D96*$E$3</f>
        <v>2.1064175669910057</v>
      </c>
      <c r="L96" s="3">
        <f t="shared" ref="L96:L116" si="82">D96+I96+K96</f>
        <v>99.853154524658692</v>
      </c>
      <c r="M96" s="17">
        <v>2511.4877469549542</v>
      </c>
      <c r="N96" s="3">
        <f t="shared" ref="N96:N112" si="83">MIN(M96,I95)</f>
        <v>52.233999999999995</v>
      </c>
      <c r="O96" s="3">
        <f t="shared" ref="O96:O112" si="84">M96-N96</f>
        <v>2459.2537469549543</v>
      </c>
      <c r="P96" s="5">
        <f t="shared" ref="P96:P112" si="85">O96/E96</f>
        <v>106.66289099713026</v>
      </c>
      <c r="Q96" s="3">
        <f t="shared" ref="Q96:Q112" si="86">(E96-F96)*P96</f>
        <v>52.938926059695774</v>
      </c>
      <c r="R96" s="5">
        <f t="shared" ref="R96:R112" si="87">Q96*$J$4</f>
        <v>11.487746954953982</v>
      </c>
      <c r="S96" s="3">
        <f t="shared" ref="S96:S112" si="88">M96-R96</f>
        <v>2500.0000000000005</v>
      </c>
      <c r="V96" s="1">
        <f>V95+1</f>
        <v>1</v>
      </c>
      <c r="W96" s="3">
        <f>S96</f>
        <v>2500.0000000000005</v>
      </c>
      <c r="X96" s="3">
        <f t="shared" ref="X96" si="89">MIN(W96*20%,500)</f>
        <v>500</v>
      </c>
      <c r="Y96" s="3">
        <f>AB96*AD96</f>
        <v>53400</v>
      </c>
      <c r="Z96" s="3">
        <f>W96+Z95-AK96</f>
        <v>50000</v>
      </c>
      <c r="AA96" s="3">
        <f>Y96-Z96</f>
        <v>3400</v>
      </c>
      <c r="AB96" s="6">
        <f>AB95*(1+$E$3)</f>
        <v>23.056319999999999</v>
      </c>
      <c r="AC96" s="6"/>
      <c r="AD96" s="5">
        <f>AD95+AG95/AB96+W96/AB96+X96/AB96-AK96/AB96-AN96/AB96</f>
        <v>2316.0677853187326</v>
      </c>
      <c r="AE96" s="3">
        <f>Y96*$E$2</f>
        <v>1495.2</v>
      </c>
      <c r="AF96" s="3"/>
      <c r="AG96" s="3">
        <f t="shared" ref="AG96:AG103" si="90">AE96-AM97</f>
        <v>1495.2</v>
      </c>
      <c r="AH96" s="3">
        <f t="shared" si="79"/>
        <v>1174.8000000000002</v>
      </c>
      <c r="AI96" s="3">
        <f t="shared" ref="AI96:AI116" si="91">Y96+AE96+AH96</f>
        <v>56070</v>
      </c>
    </row>
    <row r="97" spans="2:35" x14ac:dyDescent="0.25">
      <c r="B97" s="1">
        <f t="shared" ref="B97:B116" si="92">B96+1</f>
        <v>2</v>
      </c>
      <c r="D97" s="3">
        <f t="shared" ref="D97:D116" si="93">D96+I96+K96-N97-O97+C97</f>
        <v>99.853154524658692</v>
      </c>
      <c r="E97" s="6">
        <f t="shared" ref="E97:E116" si="94">E96*(1+$E$3)</f>
        <v>23.563559040000001</v>
      </c>
      <c r="F97" s="6">
        <f t="shared" ref="F97:F98" si="95">(F96*G96+J96+C97)/G97</f>
        <v>22.560768251821752</v>
      </c>
      <c r="G97" s="5">
        <f t="shared" ref="G97:G98" si="96">G96+(J96+C97)/E97</f>
        <v>110.9005001950937</v>
      </c>
      <c r="H97" s="3">
        <f t="shared" si="80"/>
        <v>2.7958883266904433</v>
      </c>
      <c r="I97" s="3">
        <f t="shared" ref="I97:I116" si="97">H97*(1-$J$3)</f>
        <v>2.0862918693764088</v>
      </c>
      <c r="J97" s="3">
        <f t="shared" si="81"/>
        <v>2.0862918693764088</v>
      </c>
      <c r="K97" s="3">
        <f t="shared" ref="K97:K116" si="98">D97*$E$3</f>
        <v>2.1967693995424913</v>
      </c>
      <c r="L97" s="3">
        <f t="shared" si="82"/>
        <v>104.13621579357759</v>
      </c>
      <c r="M97" s="17">
        <v>0</v>
      </c>
      <c r="N97" s="3">
        <f t="shared" si="83"/>
        <v>0</v>
      </c>
      <c r="O97" s="3">
        <f t="shared" si="84"/>
        <v>0</v>
      </c>
      <c r="P97" s="5">
        <f t="shared" si="85"/>
        <v>0</v>
      </c>
      <c r="Q97" s="3">
        <f t="shared" si="86"/>
        <v>0</v>
      </c>
      <c r="R97" s="5">
        <f t="shared" si="87"/>
        <v>0</v>
      </c>
      <c r="S97" s="3">
        <f t="shared" si="88"/>
        <v>0</v>
      </c>
      <c r="V97" s="1">
        <f t="shared" ref="V97:V116" si="99">V96+1</f>
        <v>2</v>
      </c>
      <c r="W97" s="3">
        <f t="shared" ref="W97:W109" si="100">S97</f>
        <v>0</v>
      </c>
      <c r="X97" s="3"/>
      <c r="Y97" s="3">
        <f t="shared" ref="Y97:Y116" si="101">AB97*AD97</f>
        <v>56070</v>
      </c>
      <c r="Z97" s="3">
        <f t="shared" ref="Z97:Z113" si="102">W97+Z96-AK97</f>
        <v>50000</v>
      </c>
      <c r="AA97" s="3">
        <f t="shared" ref="AA97:AA112" si="103">Y97-Z97</f>
        <v>6070</v>
      </c>
      <c r="AB97" s="6">
        <f t="shared" ref="AB97:AB111" si="104">AB96*(1+$E$3)</f>
        <v>23.563559040000001</v>
      </c>
      <c r="AC97" s="6"/>
      <c r="AD97" s="5">
        <f t="shared" ref="AD97:AD116" si="105">AD96+AG96/AB97+W97/AB97+X97/AB97-AK97/AB97-AN97/AB97</f>
        <v>2379.5216972452731</v>
      </c>
      <c r="AE97" s="3">
        <f t="shared" ref="AE97:AE116" si="106">Y97*$E$2</f>
        <v>1569.96</v>
      </c>
      <c r="AF97" s="3"/>
      <c r="AG97" s="3">
        <f t="shared" si="90"/>
        <v>1569.96</v>
      </c>
      <c r="AH97" s="3">
        <f t="shared" si="79"/>
        <v>1233.5400000000002</v>
      </c>
      <c r="AI97" s="3">
        <f t="shared" si="91"/>
        <v>58873.5</v>
      </c>
    </row>
    <row r="98" spans="2:35" x14ac:dyDescent="0.25">
      <c r="B98" s="1">
        <f t="shared" si="92"/>
        <v>3</v>
      </c>
      <c r="D98" s="3">
        <f t="shared" si="93"/>
        <v>104.13621579357759</v>
      </c>
      <c r="E98" s="6">
        <f t="shared" si="94"/>
        <v>24.081957338880002</v>
      </c>
      <c r="F98" s="6">
        <f t="shared" si="95"/>
        <v>22.561955643088442</v>
      </c>
      <c r="G98" s="5">
        <f t="shared" si="96"/>
        <v>110.98713318094357</v>
      </c>
      <c r="H98" s="3">
        <f t="shared" si="80"/>
        <v>2.9158140422201728</v>
      </c>
      <c r="I98" s="3">
        <f t="shared" si="97"/>
        <v>2.175780438304693</v>
      </c>
      <c r="J98" s="3">
        <f t="shared" si="81"/>
        <v>2.175780438304693</v>
      </c>
      <c r="K98" s="3">
        <f t="shared" si="98"/>
        <v>2.2909967474587072</v>
      </c>
      <c r="L98" s="3">
        <f t="shared" si="82"/>
        <v>108.602992979341</v>
      </c>
      <c r="M98" s="17">
        <v>0</v>
      </c>
      <c r="N98" s="3">
        <f t="shared" si="83"/>
        <v>0</v>
      </c>
      <c r="O98" s="3">
        <f t="shared" si="84"/>
        <v>0</v>
      </c>
      <c r="P98" s="5">
        <f t="shared" si="85"/>
        <v>0</v>
      </c>
      <c r="Q98" s="3">
        <f t="shared" si="86"/>
        <v>0</v>
      </c>
      <c r="R98" s="5">
        <f t="shared" si="87"/>
        <v>0</v>
      </c>
      <c r="S98" s="3">
        <f t="shared" si="88"/>
        <v>0</v>
      </c>
      <c r="V98" s="1">
        <f t="shared" si="99"/>
        <v>3</v>
      </c>
      <c r="W98" s="3">
        <f t="shared" si="100"/>
        <v>0</v>
      </c>
      <c r="X98" s="3"/>
      <c r="Y98" s="3">
        <f t="shared" si="101"/>
        <v>58873.5</v>
      </c>
      <c r="Z98" s="3">
        <f t="shared" si="102"/>
        <v>50000</v>
      </c>
      <c r="AA98" s="3">
        <f t="shared" si="103"/>
        <v>8873.5</v>
      </c>
      <c r="AB98" s="6">
        <f t="shared" si="104"/>
        <v>24.081957338880002</v>
      </c>
      <c r="AC98" s="6"/>
      <c r="AD98" s="5">
        <f t="shared" si="105"/>
        <v>2444.7140725122667</v>
      </c>
      <c r="AE98" s="3">
        <f t="shared" si="106"/>
        <v>1648.4580000000001</v>
      </c>
      <c r="AF98" s="3"/>
      <c r="AG98" s="3">
        <f t="shared" si="90"/>
        <v>1648.4580000000001</v>
      </c>
      <c r="AH98" s="3">
        <f t="shared" si="79"/>
        <v>1295.2170000000001</v>
      </c>
      <c r="AI98" s="3">
        <f t="shared" si="91"/>
        <v>61817.174999999996</v>
      </c>
    </row>
    <row r="99" spans="2:35" x14ac:dyDescent="0.25">
      <c r="B99" s="1">
        <f t="shared" si="92"/>
        <v>4</v>
      </c>
      <c r="D99" s="3">
        <f t="shared" si="93"/>
        <v>108.602992979341</v>
      </c>
      <c r="E99" s="6">
        <f t="shared" si="94"/>
        <v>24.611760400335363</v>
      </c>
      <c r="F99" s="6">
        <f>(F98*G98+J98+C99)/G99</f>
        <v>22.563587065647759</v>
      </c>
      <c r="G99" s="5">
        <f>G98+(J98+C99)/E99</f>
        <v>111.07553727731512</v>
      </c>
      <c r="H99" s="3">
        <f t="shared" si="80"/>
        <v>3.040883803421548</v>
      </c>
      <c r="I99" s="3">
        <f t="shared" si="97"/>
        <v>2.2691074941131588</v>
      </c>
      <c r="J99" s="3">
        <f t="shared" si="81"/>
        <v>2.2691074941131588</v>
      </c>
      <c r="K99" s="3">
        <f t="shared" si="98"/>
        <v>2.389265845545502</v>
      </c>
      <c r="L99" s="3">
        <f t="shared" si="82"/>
        <v>113.26136631899965</v>
      </c>
      <c r="M99" s="17">
        <v>0</v>
      </c>
      <c r="N99" s="3">
        <f t="shared" si="83"/>
        <v>0</v>
      </c>
      <c r="O99" s="3">
        <f t="shared" si="84"/>
        <v>0</v>
      </c>
      <c r="P99" s="5">
        <f t="shared" si="85"/>
        <v>0</v>
      </c>
      <c r="Q99" s="3">
        <f t="shared" si="86"/>
        <v>0</v>
      </c>
      <c r="R99" s="5">
        <f t="shared" si="87"/>
        <v>0</v>
      </c>
      <c r="S99" s="3">
        <f t="shared" si="88"/>
        <v>0</v>
      </c>
      <c r="V99" s="1">
        <f t="shared" si="99"/>
        <v>4</v>
      </c>
      <c r="W99" s="3">
        <f t="shared" si="100"/>
        <v>0</v>
      </c>
      <c r="X99" s="3"/>
      <c r="Y99" s="3">
        <f t="shared" si="101"/>
        <v>61817.175000000003</v>
      </c>
      <c r="Z99" s="3">
        <f t="shared" si="102"/>
        <v>50000</v>
      </c>
      <c r="AA99" s="3">
        <f t="shared" si="103"/>
        <v>11817.175000000003</v>
      </c>
      <c r="AB99" s="6">
        <f t="shared" si="104"/>
        <v>24.611760400335363</v>
      </c>
      <c r="AC99" s="6"/>
      <c r="AD99" s="5">
        <f t="shared" si="105"/>
        <v>2511.6925402523289</v>
      </c>
      <c r="AE99" s="3">
        <f t="shared" si="106"/>
        <v>1730.8809000000001</v>
      </c>
      <c r="AF99" s="3"/>
      <c r="AG99" s="3">
        <f t="shared" si="90"/>
        <v>1730.8809000000001</v>
      </c>
      <c r="AH99" s="3">
        <f t="shared" si="79"/>
        <v>1359.9778500000002</v>
      </c>
      <c r="AI99" s="3">
        <f t="shared" si="91"/>
        <v>64908.03375000001</v>
      </c>
    </row>
    <row r="100" spans="2:35" x14ac:dyDescent="0.25">
      <c r="B100" s="1">
        <f t="shared" si="92"/>
        <v>5</v>
      </c>
      <c r="D100" s="3">
        <f t="shared" si="93"/>
        <v>113.26136631899965</v>
      </c>
      <c r="E100" s="6">
        <f t="shared" si="94"/>
        <v>25.153219129142741</v>
      </c>
      <c r="F100" s="6">
        <f t="shared" ref="F100:F116" si="107">(F99*G99+J99+C100)/G100</f>
        <v>22.565688561621162</v>
      </c>
      <c r="G100" s="5">
        <f t="shared" ref="G100:G116" si="108">G99+(J99+C100)/E100</f>
        <v>111.16574869250071</v>
      </c>
      <c r="H100" s="3">
        <f t="shared" si="80"/>
        <v>3.1713182569319902</v>
      </c>
      <c r="I100" s="3">
        <f t="shared" si="97"/>
        <v>2.3664376833226508</v>
      </c>
      <c r="J100" s="3">
        <f t="shared" si="81"/>
        <v>2.3664376833226508</v>
      </c>
      <c r="K100" s="3">
        <f t="shared" si="98"/>
        <v>2.4917500590179924</v>
      </c>
      <c r="L100" s="3">
        <f t="shared" si="82"/>
        <v>118.11955406134028</v>
      </c>
      <c r="M100" s="17">
        <v>0</v>
      </c>
      <c r="N100" s="3">
        <f t="shared" si="83"/>
        <v>0</v>
      </c>
      <c r="O100" s="3">
        <f t="shared" si="84"/>
        <v>0</v>
      </c>
      <c r="P100" s="5">
        <f t="shared" si="85"/>
        <v>0</v>
      </c>
      <c r="Q100" s="3">
        <f t="shared" si="86"/>
        <v>0</v>
      </c>
      <c r="R100" s="5">
        <f t="shared" si="87"/>
        <v>0</v>
      </c>
      <c r="S100" s="3">
        <f t="shared" si="88"/>
        <v>0</v>
      </c>
      <c r="V100" s="1">
        <f t="shared" si="99"/>
        <v>5</v>
      </c>
      <c r="W100" s="3">
        <f t="shared" si="100"/>
        <v>0</v>
      </c>
      <c r="X100" s="3"/>
      <c r="Y100" s="3">
        <f t="shared" si="101"/>
        <v>64908.033750000002</v>
      </c>
      <c r="Z100" s="3">
        <f t="shared" si="102"/>
        <v>50000</v>
      </c>
      <c r="AA100" s="3">
        <f t="shared" si="103"/>
        <v>14908.033750000002</v>
      </c>
      <c r="AB100" s="6">
        <f t="shared" si="104"/>
        <v>25.153219129142741</v>
      </c>
      <c r="AC100" s="6"/>
      <c r="AD100" s="5">
        <f t="shared" si="105"/>
        <v>2580.5060345058173</v>
      </c>
      <c r="AE100" s="3">
        <f t="shared" si="106"/>
        <v>1817.4249450000002</v>
      </c>
      <c r="AF100" s="3"/>
      <c r="AG100" s="3">
        <f t="shared" si="90"/>
        <v>1817.4249450000002</v>
      </c>
      <c r="AH100" s="3">
        <f t="shared" si="79"/>
        <v>1427.9767425000002</v>
      </c>
      <c r="AI100" s="3">
        <f t="shared" si="91"/>
        <v>68153.435437500011</v>
      </c>
    </row>
    <row r="101" spans="2:35" x14ac:dyDescent="0.25">
      <c r="B101" s="1">
        <f t="shared" si="92"/>
        <v>6</v>
      </c>
      <c r="D101" s="3">
        <f t="shared" si="93"/>
        <v>118.11955406134028</v>
      </c>
      <c r="E101" s="6">
        <f t="shared" si="94"/>
        <v>25.706589949983883</v>
      </c>
      <c r="F101" s="6">
        <f t="shared" si="107"/>
        <v>22.568287370960284</v>
      </c>
      <c r="G101" s="5">
        <f t="shared" si="108"/>
        <v>111.25780437502908</v>
      </c>
      <c r="H101" s="3">
        <f t="shared" si="80"/>
        <v>3.3073475137175281</v>
      </c>
      <c r="I101" s="3">
        <f t="shared" si="97"/>
        <v>2.4679427147360196</v>
      </c>
      <c r="J101" s="3">
        <f t="shared" si="81"/>
        <v>2.4679427147360196</v>
      </c>
      <c r="K101" s="3">
        <f t="shared" si="98"/>
        <v>2.5986301893494863</v>
      </c>
      <c r="L101" s="3">
        <f t="shared" si="82"/>
        <v>123.1861269654258</v>
      </c>
      <c r="M101" s="17">
        <v>0</v>
      </c>
      <c r="N101" s="3">
        <f t="shared" si="83"/>
        <v>0</v>
      </c>
      <c r="O101" s="3">
        <f t="shared" si="84"/>
        <v>0</v>
      </c>
      <c r="P101" s="5">
        <f t="shared" si="85"/>
        <v>0</v>
      </c>
      <c r="Q101" s="3">
        <f t="shared" si="86"/>
        <v>0</v>
      </c>
      <c r="R101" s="5">
        <f t="shared" si="87"/>
        <v>0</v>
      </c>
      <c r="S101" s="3">
        <f t="shared" si="88"/>
        <v>0</v>
      </c>
      <c r="V101" s="1">
        <f t="shared" si="99"/>
        <v>6</v>
      </c>
      <c r="W101" s="3">
        <f t="shared" si="100"/>
        <v>0</v>
      </c>
      <c r="X101" s="3"/>
      <c r="Y101" s="3">
        <f t="shared" si="101"/>
        <v>68153.435437500011</v>
      </c>
      <c r="Z101" s="3">
        <f t="shared" si="102"/>
        <v>50000</v>
      </c>
      <c r="AA101" s="3">
        <f t="shared" si="103"/>
        <v>18153.435437500011</v>
      </c>
      <c r="AB101" s="6">
        <f t="shared" si="104"/>
        <v>25.706589949983883</v>
      </c>
      <c r="AC101" s="6"/>
      <c r="AD101" s="5">
        <f t="shared" si="105"/>
        <v>2651.2048299717303</v>
      </c>
      <c r="AE101" s="3">
        <f t="shared" si="106"/>
        <v>1908.2961922500003</v>
      </c>
      <c r="AF101" s="3"/>
      <c r="AG101" s="3">
        <f t="shared" si="90"/>
        <v>1908.2961922500003</v>
      </c>
      <c r="AH101" s="3">
        <f t="shared" si="79"/>
        <v>1499.3755796250005</v>
      </c>
      <c r="AI101" s="3">
        <f t="shared" si="91"/>
        <v>71561.107209375012</v>
      </c>
    </row>
    <row r="102" spans="2:35" x14ac:dyDescent="0.25">
      <c r="B102" s="1">
        <f t="shared" si="92"/>
        <v>7</v>
      </c>
      <c r="D102" s="3">
        <f t="shared" si="93"/>
        <v>123.1861269654258</v>
      </c>
      <c r="E102" s="6">
        <f t="shared" si="94"/>
        <v>26.272134928883528</v>
      </c>
      <c r="F102" s="6">
        <f t="shared" si="107"/>
        <v>22.571411980806275</v>
      </c>
      <c r="G102" s="5">
        <f t="shared" si="108"/>
        <v>111.35174202879863</v>
      </c>
      <c r="H102" s="3">
        <f t="shared" si="80"/>
        <v>3.4492115550319227</v>
      </c>
      <c r="I102" s="3">
        <f t="shared" si="97"/>
        <v>2.5738016623648208</v>
      </c>
      <c r="J102" s="3">
        <f t="shared" si="81"/>
        <v>2.5738016623648208</v>
      </c>
      <c r="K102" s="3">
        <f t="shared" si="98"/>
        <v>2.7100947932393677</v>
      </c>
      <c r="L102" s="3">
        <f t="shared" si="82"/>
        <v>128.47002342102999</v>
      </c>
      <c r="M102" s="17">
        <v>0</v>
      </c>
      <c r="N102" s="3">
        <f t="shared" si="83"/>
        <v>0</v>
      </c>
      <c r="O102" s="3">
        <f t="shared" si="84"/>
        <v>0</v>
      </c>
      <c r="P102" s="5">
        <f t="shared" si="85"/>
        <v>0</v>
      </c>
      <c r="Q102" s="3">
        <f t="shared" si="86"/>
        <v>0</v>
      </c>
      <c r="R102" s="5">
        <f t="shared" si="87"/>
        <v>0</v>
      </c>
      <c r="S102" s="3">
        <f t="shared" si="88"/>
        <v>0</v>
      </c>
      <c r="V102" s="1">
        <f t="shared" si="99"/>
        <v>7</v>
      </c>
      <c r="W102" s="3">
        <f t="shared" si="100"/>
        <v>0</v>
      </c>
      <c r="X102" s="3"/>
      <c r="Y102" s="3">
        <f t="shared" si="101"/>
        <v>71561.107209375012</v>
      </c>
      <c r="Z102" s="3">
        <f t="shared" si="102"/>
        <v>50000</v>
      </c>
      <c r="AA102" s="3">
        <f t="shared" si="103"/>
        <v>21561.107209375012</v>
      </c>
      <c r="AB102" s="6">
        <f t="shared" si="104"/>
        <v>26.272134928883528</v>
      </c>
      <c r="AC102" s="6"/>
      <c r="AD102" s="5">
        <f t="shared" si="105"/>
        <v>2723.8405787380789</v>
      </c>
      <c r="AE102" s="3">
        <f t="shared" si="106"/>
        <v>2003.7110018625003</v>
      </c>
      <c r="AF102" s="3"/>
      <c r="AG102" s="3">
        <f t="shared" si="90"/>
        <v>2003.7110018625003</v>
      </c>
      <c r="AH102" s="3">
        <f t="shared" si="79"/>
        <v>1574.3443586062504</v>
      </c>
      <c r="AI102" s="3">
        <f t="shared" si="91"/>
        <v>75139.162569843757</v>
      </c>
    </row>
    <row r="103" spans="2:35" x14ac:dyDescent="0.25">
      <c r="B103" s="1">
        <f t="shared" si="92"/>
        <v>8</v>
      </c>
      <c r="D103" s="3">
        <f t="shared" si="93"/>
        <v>128.47002342102999</v>
      </c>
      <c r="E103" s="6">
        <f t="shared" si="94"/>
        <v>26.850121897318967</v>
      </c>
      <c r="F103" s="6">
        <f t="shared" si="107"/>
        <v>22.575092176713436</v>
      </c>
      <c r="G103" s="5">
        <f t="shared" si="108"/>
        <v>111.44760012852002</v>
      </c>
      <c r="H103" s="3">
        <f t="shared" si="80"/>
        <v>3.5971606557888398</v>
      </c>
      <c r="I103" s="3">
        <f t="shared" si="97"/>
        <v>2.6842012813496323</v>
      </c>
      <c r="J103" s="3">
        <f t="shared" si="81"/>
        <v>2.6842012813496323</v>
      </c>
      <c r="K103" s="3">
        <f t="shared" si="98"/>
        <v>2.8263405152626602</v>
      </c>
      <c r="L103" s="3">
        <f t="shared" si="82"/>
        <v>133.98056521764229</v>
      </c>
      <c r="M103" s="17">
        <v>0</v>
      </c>
      <c r="N103" s="3">
        <f t="shared" si="83"/>
        <v>0</v>
      </c>
      <c r="O103" s="3">
        <f t="shared" si="84"/>
        <v>0</v>
      </c>
      <c r="P103" s="5">
        <f t="shared" si="85"/>
        <v>0</v>
      </c>
      <c r="Q103" s="3">
        <f t="shared" si="86"/>
        <v>0</v>
      </c>
      <c r="R103" s="5">
        <f t="shared" si="87"/>
        <v>0</v>
      </c>
      <c r="S103" s="3">
        <f t="shared" si="88"/>
        <v>0</v>
      </c>
      <c r="V103" s="1">
        <f t="shared" si="99"/>
        <v>8</v>
      </c>
      <c r="W103" s="3">
        <f t="shared" si="100"/>
        <v>0</v>
      </c>
      <c r="X103" s="3"/>
      <c r="Y103" s="3">
        <f t="shared" si="101"/>
        <v>75139.162569843757</v>
      </c>
      <c r="Z103" s="3">
        <f t="shared" si="102"/>
        <v>50000</v>
      </c>
      <c r="AA103" s="3">
        <f t="shared" si="103"/>
        <v>25139.162569843757</v>
      </c>
      <c r="AB103" s="6">
        <f t="shared" si="104"/>
        <v>26.850121897318967</v>
      </c>
      <c r="AC103" s="6"/>
      <c r="AD103" s="5">
        <f t="shared" si="105"/>
        <v>2798.4663480185741</v>
      </c>
      <c r="AE103" s="3">
        <f t="shared" si="106"/>
        <v>2103.896551955625</v>
      </c>
      <c r="AF103" s="3"/>
      <c r="AG103" s="3">
        <f t="shared" si="90"/>
        <v>2103.896551955625</v>
      </c>
      <c r="AH103" s="3">
        <f t="shared" si="79"/>
        <v>1653.0615765365628</v>
      </c>
      <c r="AI103" s="3">
        <f t="shared" si="91"/>
        <v>78896.120698335944</v>
      </c>
    </row>
    <row r="104" spans="2:35" x14ac:dyDescent="0.25">
      <c r="B104" s="1">
        <f t="shared" si="92"/>
        <v>9</v>
      </c>
      <c r="D104" s="3">
        <f t="shared" si="93"/>
        <v>133.98056521764229</v>
      </c>
      <c r="E104" s="6">
        <f t="shared" si="94"/>
        <v>27.440824579059985</v>
      </c>
      <c r="F104" s="6">
        <f t="shared" si="107"/>
        <v>22.579359095800157</v>
      </c>
      <c r="G104" s="5">
        <f t="shared" si="108"/>
        <v>111.54541793547463</v>
      </c>
      <c r="H104" s="3">
        <f t="shared" si="80"/>
        <v>3.7514558260939843</v>
      </c>
      <c r="I104" s="3">
        <f t="shared" si="97"/>
        <v>2.7993363374313311</v>
      </c>
      <c r="J104" s="3">
        <f t="shared" si="81"/>
        <v>2.7993363374313311</v>
      </c>
      <c r="K104" s="3">
        <f t="shared" si="98"/>
        <v>2.9475724347881309</v>
      </c>
      <c r="L104" s="3">
        <f t="shared" si="82"/>
        <v>139.72747398986175</v>
      </c>
      <c r="M104" s="17">
        <v>0</v>
      </c>
      <c r="N104" s="3">
        <f t="shared" si="83"/>
        <v>0</v>
      </c>
      <c r="O104" s="3">
        <f t="shared" si="84"/>
        <v>0</v>
      </c>
      <c r="P104" s="5">
        <f t="shared" si="85"/>
        <v>0</v>
      </c>
      <c r="Q104" s="3">
        <f t="shared" si="86"/>
        <v>0</v>
      </c>
      <c r="R104" s="5">
        <f t="shared" si="87"/>
        <v>0</v>
      </c>
      <c r="S104" s="3">
        <f t="shared" si="88"/>
        <v>0</v>
      </c>
      <c r="V104" s="1">
        <f t="shared" si="99"/>
        <v>9</v>
      </c>
      <c r="W104" s="3">
        <f t="shared" si="100"/>
        <v>0</v>
      </c>
      <c r="X104" s="3"/>
      <c r="Y104" s="3">
        <f t="shared" si="101"/>
        <v>78896.120698335944</v>
      </c>
      <c r="Z104" s="3">
        <f t="shared" si="102"/>
        <v>50000</v>
      </c>
      <c r="AA104" s="3">
        <f t="shared" si="103"/>
        <v>28896.120698335944</v>
      </c>
      <c r="AB104" s="6">
        <f t="shared" si="104"/>
        <v>27.440824579059985</v>
      </c>
      <c r="AC104" s="6"/>
      <c r="AD104" s="5">
        <f t="shared" si="105"/>
        <v>2875.1366589231925</v>
      </c>
      <c r="AE104" s="3">
        <f t="shared" si="106"/>
        <v>2209.0913795534066</v>
      </c>
      <c r="AF104" s="3"/>
      <c r="AG104" s="3">
        <f>AE104-AM105</f>
        <v>2209.0913795534066</v>
      </c>
      <c r="AH104" s="3">
        <f t="shared" si="79"/>
        <v>1735.7146553633909</v>
      </c>
      <c r="AI104" s="3">
        <f t="shared" si="91"/>
        <v>82840.926733252738</v>
      </c>
    </row>
    <row r="105" spans="2:35" x14ac:dyDescent="0.25">
      <c r="B105" s="1">
        <f t="shared" si="92"/>
        <v>10</v>
      </c>
      <c r="D105" s="3">
        <f t="shared" si="93"/>
        <v>139.72747398986175</v>
      </c>
      <c r="E105" s="6">
        <f t="shared" si="94"/>
        <v>28.044522719799303</v>
      </c>
      <c r="F105" s="6">
        <f t="shared" si="107"/>
        <v>22.584245281891931</v>
      </c>
      <c r="G105" s="5">
        <f t="shared" si="108"/>
        <v>111.64523551359497</v>
      </c>
      <c r="H105" s="3">
        <f t="shared" si="80"/>
        <v>3.9123692717161291</v>
      </c>
      <c r="I105" s="3">
        <f t="shared" si="97"/>
        <v>2.9194099505545754</v>
      </c>
      <c r="J105" s="3">
        <f t="shared" si="81"/>
        <v>2.9194099505545754</v>
      </c>
      <c r="K105" s="3">
        <f t="shared" si="98"/>
        <v>3.0740044277769587</v>
      </c>
      <c r="L105" s="3">
        <f t="shared" si="82"/>
        <v>145.7208883681933</v>
      </c>
      <c r="M105" s="17">
        <v>0</v>
      </c>
      <c r="N105" s="3">
        <f t="shared" si="83"/>
        <v>0</v>
      </c>
      <c r="O105" s="3">
        <f t="shared" si="84"/>
        <v>0</v>
      </c>
      <c r="P105" s="5">
        <f t="shared" si="85"/>
        <v>0</v>
      </c>
      <c r="Q105" s="3">
        <f t="shared" si="86"/>
        <v>0</v>
      </c>
      <c r="R105" s="5">
        <f t="shared" si="87"/>
        <v>0</v>
      </c>
      <c r="S105" s="3">
        <f t="shared" si="88"/>
        <v>0</v>
      </c>
      <c r="V105" s="1">
        <f t="shared" si="99"/>
        <v>10</v>
      </c>
      <c r="W105" s="3">
        <f t="shared" si="100"/>
        <v>0</v>
      </c>
      <c r="X105" s="3"/>
      <c r="Y105" s="3">
        <f t="shared" si="101"/>
        <v>82840.926733252738</v>
      </c>
      <c r="Z105" s="3">
        <f t="shared" si="102"/>
        <v>50000</v>
      </c>
      <c r="AA105" s="3">
        <f t="shared" si="103"/>
        <v>32840.926733252738</v>
      </c>
      <c r="AB105" s="6">
        <f t="shared" si="104"/>
        <v>28.044522719799303</v>
      </c>
      <c r="AC105" s="6"/>
      <c r="AD105" s="5">
        <f t="shared" si="105"/>
        <v>2953.9075262909514</v>
      </c>
      <c r="AE105" s="3">
        <f t="shared" si="106"/>
        <v>2319.5459485310766</v>
      </c>
      <c r="AF105" s="3"/>
      <c r="AG105" s="3">
        <f t="shared" ref="AG105:AG111" si="109">AE105-AM106</f>
        <v>2319.5459485310766</v>
      </c>
      <c r="AH105" s="3">
        <f t="shared" si="79"/>
        <v>1822.5003881315604</v>
      </c>
      <c r="AI105" s="3">
        <f t="shared" si="91"/>
        <v>86982.973069915373</v>
      </c>
    </row>
    <row r="106" spans="2:35" x14ac:dyDescent="0.25">
      <c r="B106" s="1">
        <f t="shared" si="92"/>
        <v>11</v>
      </c>
      <c r="D106" s="3">
        <f t="shared" si="93"/>
        <v>145.7208883681933</v>
      </c>
      <c r="E106" s="6">
        <f t="shared" si="94"/>
        <v>28.66150221963489</v>
      </c>
      <c r="F106" s="6">
        <f t="shared" si="107"/>
        <v>22.589784742722934</v>
      </c>
      <c r="G106" s="5">
        <f t="shared" si="108"/>
        <v>111.74709374587404</v>
      </c>
      <c r="H106" s="3">
        <f t="shared" si="80"/>
        <v>4.0801848743094125</v>
      </c>
      <c r="I106" s="3">
        <f t="shared" si="97"/>
        <v>3.0446339532096833</v>
      </c>
      <c r="J106" s="3">
        <f t="shared" si="81"/>
        <v>3.0446339532096833</v>
      </c>
      <c r="K106" s="3">
        <f t="shared" si="98"/>
        <v>3.2058595441002531</v>
      </c>
      <c r="L106" s="3">
        <f t="shared" si="82"/>
        <v>151.97138186550325</v>
      </c>
      <c r="M106" s="17">
        <v>0</v>
      </c>
      <c r="N106" s="3">
        <f t="shared" si="83"/>
        <v>0</v>
      </c>
      <c r="O106" s="3">
        <f t="shared" si="84"/>
        <v>0</v>
      </c>
      <c r="P106" s="5">
        <f t="shared" si="85"/>
        <v>0</v>
      </c>
      <c r="Q106" s="3">
        <f t="shared" si="86"/>
        <v>0</v>
      </c>
      <c r="R106" s="5">
        <f t="shared" si="87"/>
        <v>0</v>
      </c>
      <c r="S106" s="3">
        <f t="shared" si="88"/>
        <v>0</v>
      </c>
      <c r="V106" s="1">
        <f t="shared" si="99"/>
        <v>11</v>
      </c>
      <c r="W106" s="3">
        <f t="shared" si="100"/>
        <v>0</v>
      </c>
      <c r="X106" s="3"/>
      <c r="Y106" s="3">
        <f t="shared" si="101"/>
        <v>86982.973069915388</v>
      </c>
      <c r="Z106" s="3">
        <f t="shared" si="102"/>
        <v>50000</v>
      </c>
      <c r="AA106" s="3">
        <f t="shared" si="103"/>
        <v>36982.973069915388</v>
      </c>
      <c r="AB106" s="6">
        <f t="shared" si="104"/>
        <v>28.66150221963489</v>
      </c>
      <c r="AC106" s="6"/>
      <c r="AD106" s="5">
        <f t="shared" si="105"/>
        <v>3034.8364996139912</v>
      </c>
      <c r="AE106" s="3">
        <f t="shared" si="106"/>
        <v>2435.5232459576309</v>
      </c>
      <c r="AF106" s="3"/>
      <c r="AG106" s="3">
        <f t="shared" si="109"/>
        <v>2435.5232459576309</v>
      </c>
      <c r="AH106" s="3">
        <f t="shared" si="79"/>
        <v>1913.6254075381387</v>
      </c>
      <c r="AI106" s="3">
        <f t="shared" si="91"/>
        <v>91332.121723411168</v>
      </c>
    </row>
    <row r="107" spans="2:35" x14ac:dyDescent="0.25">
      <c r="B107" s="1">
        <f t="shared" si="92"/>
        <v>12</v>
      </c>
      <c r="D107" s="3">
        <f t="shared" si="93"/>
        <v>151.97138186550325</v>
      </c>
      <c r="E107" s="6">
        <f t="shared" si="94"/>
        <v>29.292055268466857</v>
      </c>
      <c r="F107" s="6">
        <f t="shared" si="107"/>
        <v>22.59601300926461</v>
      </c>
      <c r="G107" s="5">
        <f t="shared" si="108"/>
        <v>111.85103435111</v>
      </c>
      <c r="H107" s="3">
        <f t="shared" si="80"/>
        <v>4.2551986922340914</v>
      </c>
      <c r="I107" s="3">
        <f t="shared" si="97"/>
        <v>3.175229264145079</v>
      </c>
      <c r="J107" s="3">
        <f t="shared" si="81"/>
        <v>3.175229264145079</v>
      </c>
      <c r="K107" s="3">
        <f t="shared" si="98"/>
        <v>3.3433704010410716</v>
      </c>
      <c r="L107" s="3">
        <f t="shared" si="82"/>
        <v>158.48998153068942</v>
      </c>
      <c r="M107" s="17">
        <v>0</v>
      </c>
      <c r="N107" s="3">
        <f t="shared" si="83"/>
        <v>0</v>
      </c>
      <c r="O107" s="3">
        <f t="shared" si="84"/>
        <v>0</v>
      </c>
      <c r="P107" s="5">
        <f t="shared" si="85"/>
        <v>0</v>
      </c>
      <c r="Q107" s="3">
        <f t="shared" si="86"/>
        <v>0</v>
      </c>
      <c r="R107" s="5">
        <f t="shared" si="87"/>
        <v>0</v>
      </c>
      <c r="S107" s="3">
        <f t="shared" si="88"/>
        <v>0</v>
      </c>
      <c r="V107" s="1">
        <f t="shared" si="99"/>
        <v>12</v>
      </c>
      <c r="W107" s="3">
        <f t="shared" si="100"/>
        <v>0</v>
      </c>
      <c r="X107" s="3"/>
      <c r="Y107" s="3">
        <f t="shared" si="101"/>
        <v>91332.121723411154</v>
      </c>
      <c r="Z107" s="3">
        <f t="shared" si="102"/>
        <v>50000</v>
      </c>
      <c r="AA107" s="3">
        <f t="shared" si="103"/>
        <v>41332.121723411154</v>
      </c>
      <c r="AB107" s="6">
        <f t="shared" si="104"/>
        <v>29.292055268466857</v>
      </c>
      <c r="AC107" s="6"/>
      <c r="AD107" s="5">
        <f t="shared" si="105"/>
        <v>3117.9827050828676</v>
      </c>
      <c r="AE107" s="3">
        <f t="shared" si="106"/>
        <v>2557.2994082555124</v>
      </c>
      <c r="AF107" s="3"/>
      <c r="AG107" s="3">
        <f t="shared" si="109"/>
        <v>2557.2994082555124</v>
      </c>
      <c r="AH107" s="3">
        <f t="shared" si="79"/>
        <v>2009.3066779150456</v>
      </c>
      <c r="AI107" s="3">
        <f t="shared" si="91"/>
        <v>95898.727809581702</v>
      </c>
    </row>
    <row r="108" spans="2:35" x14ac:dyDescent="0.25">
      <c r="B108" s="1">
        <f t="shared" si="92"/>
        <v>13</v>
      </c>
      <c r="D108" s="3">
        <f t="shared" si="93"/>
        <v>158.48998153068942</v>
      </c>
      <c r="E108" s="6">
        <f t="shared" si="94"/>
        <v>29.936480484373128</v>
      </c>
      <c r="F108" s="6">
        <f t="shared" si="107"/>
        <v>22.602967197251225</v>
      </c>
      <c r="G108" s="5">
        <f t="shared" si="108"/>
        <v>111.95709990099328</v>
      </c>
      <c r="H108" s="3">
        <f t="shared" si="80"/>
        <v>4.4377194828593041</v>
      </c>
      <c r="I108" s="3">
        <f t="shared" si="97"/>
        <v>3.3114262781096127</v>
      </c>
      <c r="J108" s="3">
        <f t="shared" si="81"/>
        <v>3.3114262781096127</v>
      </c>
      <c r="K108" s="3">
        <f t="shared" si="98"/>
        <v>3.4867795936751675</v>
      </c>
      <c r="L108" s="3">
        <f t="shared" si="82"/>
        <v>165.28818740247422</v>
      </c>
      <c r="M108" s="17">
        <v>0</v>
      </c>
      <c r="N108" s="3">
        <f t="shared" si="83"/>
        <v>0</v>
      </c>
      <c r="O108" s="3">
        <f t="shared" si="84"/>
        <v>0</v>
      </c>
      <c r="P108" s="5">
        <f t="shared" si="85"/>
        <v>0</v>
      </c>
      <c r="Q108" s="3">
        <f t="shared" si="86"/>
        <v>0</v>
      </c>
      <c r="R108" s="5">
        <f t="shared" si="87"/>
        <v>0</v>
      </c>
      <c r="S108" s="3">
        <f t="shared" si="88"/>
        <v>0</v>
      </c>
      <c r="V108" s="1">
        <f t="shared" si="99"/>
        <v>13</v>
      </c>
      <c r="W108" s="3">
        <f t="shared" si="100"/>
        <v>0</v>
      </c>
      <c r="X108" s="3"/>
      <c r="Y108" s="3">
        <f t="shared" si="101"/>
        <v>95898.727809581702</v>
      </c>
      <c r="Z108" s="3">
        <f t="shared" si="102"/>
        <v>50000</v>
      </c>
      <c r="AA108" s="3">
        <f t="shared" si="103"/>
        <v>45898.727809581702</v>
      </c>
      <c r="AB108" s="6">
        <f t="shared" si="104"/>
        <v>29.936480484373128</v>
      </c>
      <c r="AC108" s="6"/>
      <c r="AD108" s="5">
        <f t="shared" si="105"/>
        <v>3203.406888783768</v>
      </c>
      <c r="AE108" s="3">
        <f t="shared" si="106"/>
        <v>2685.1643786682876</v>
      </c>
      <c r="AF108" s="3"/>
      <c r="AG108" s="3">
        <f t="shared" si="109"/>
        <v>2685.1643786682876</v>
      </c>
      <c r="AH108" s="3">
        <f t="shared" si="79"/>
        <v>2109.7720118107977</v>
      </c>
      <c r="AI108" s="3">
        <f t="shared" si="91"/>
        <v>100693.66420006078</v>
      </c>
    </row>
    <row r="109" spans="2:35" x14ac:dyDescent="0.25">
      <c r="B109" s="1">
        <f t="shared" si="92"/>
        <v>14</v>
      </c>
      <c r="D109" s="3">
        <f t="shared" si="93"/>
        <v>165.28818740247422</v>
      </c>
      <c r="E109" s="6">
        <f t="shared" si="94"/>
        <v>30.595083055029338</v>
      </c>
      <c r="F109" s="6">
        <f t="shared" si="107"/>
        <v>22.610686070974491</v>
      </c>
      <c r="G109" s="5">
        <f t="shared" si="108"/>
        <v>112.06533383754295</v>
      </c>
      <c r="H109" s="3">
        <f t="shared" si="80"/>
        <v>4.6280692472692779</v>
      </c>
      <c r="I109" s="3">
        <f t="shared" si="97"/>
        <v>3.4534652723123349</v>
      </c>
      <c r="J109" s="3">
        <f t="shared" si="81"/>
        <v>3.4534652723123349</v>
      </c>
      <c r="K109" s="3">
        <f t="shared" si="98"/>
        <v>3.6363401228544334</v>
      </c>
      <c r="L109" s="3">
        <f t="shared" si="82"/>
        <v>172.37799279764099</v>
      </c>
      <c r="M109" s="17">
        <v>0</v>
      </c>
      <c r="N109" s="3">
        <f t="shared" si="83"/>
        <v>0</v>
      </c>
      <c r="O109" s="3">
        <f t="shared" si="84"/>
        <v>0</v>
      </c>
      <c r="P109" s="5">
        <f t="shared" si="85"/>
        <v>0</v>
      </c>
      <c r="Q109" s="3">
        <f t="shared" si="86"/>
        <v>0</v>
      </c>
      <c r="R109" s="5">
        <f t="shared" si="87"/>
        <v>0</v>
      </c>
      <c r="S109" s="3">
        <f t="shared" si="88"/>
        <v>0</v>
      </c>
      <c r="V109" s="1">
        <f t="shared" si="99"/>
        <v>14</v>
      </c>
      <c r="W109" s="3">
        <f t="shared" si="100"/>
        <v>0</v>
      </c>
      <c r="X109" s="3"/>
      <c r="Y109" s="3">
        <f t="shared" si="101"/>
        <v>100693.6642000608</v>
      </c>
      <c r="Z109" s="3">
        <f t="shared" si="102"/>
        <v>50000</v>
      </c>
      <c r="AA109" s="3">
        <f t="shared" si="103"/>
        <v>50693.664200060797</v>
      </c>
      <c r="AB109" s="6">
        <f t="shared" si="104"/>
        <v>30.595083055029338</v>
      </c>
      <c r="AC109" s="6"/>
      <c r="AD109" s="5">
        <f t="shared" si="105"/>
        <v>3291.1714610792137</v>
      </c>
      <c r="AE109" s="3">
        <f t="shared" si="106"/>
        <v>2819.4225976017024</v>
      </c>
      <c r="AF109" s="3"/>
      <c r="AG109" s="3">
        <f t="shared" si="109"/>
        <v>2819.4225976017024</v>
      </c>
      <c r="AH109" s="3">
        <f t="shared" si="79"/>
        <v>2215.2606124013378</v>
      </c>
      <c r="AI109" s="3">
        <f t="shared" si="91"/>
        <v>105728.34741006384</v>
      </c>
    </row>
    <row r="110" spans="2:35" x14ac:dyDescent="0.25">
      <c r="B110" s="1">
        <f t="shared" si="92"/>
        <v>15</v>
      </c>
      <c r="D110" s="3">
        <f t="shared" si="93"/>
        <v>172.37799279764099</v>
      </c>
      <c r="E110" s="6">
        <f t="shared" si="94"/>
        <v>31.268174882239983</v>
      </c>
      <c r="F110" s="6">
        <f t="shared" si="107"/>
        <v>22.619210109421044</v>
      </c>
      <c r="G110" s="5">
        <f t="shared" si="108"/>
        <v>112.17578049089956</v>
      </c>
      <c r="H110" s="3">
        <f t="shared" si="80"/>
        <v>4.8265837983339477</v>
      </c>
      <c r="I110" s="3">
        <f t="shared" si="97"/>
        <v>3.6015968303167916</v>
      </c>
      <c r="J110" s="3">
        <f t="shared" si="81"/>
        <v>3.6015968303167916</v>
      </c>
      <c r="K110" s="3">
        <f t="shared" si="98"/>
        <v>3.7923158415481022</v>
      </c>
      <c r="L110" s="3">
        <f t="shared" si="82"/>
        <v>179.77190546950587</v>
      </c>
      <c r="M110" s="17">
        <v>0</v>
      </c>
      <c r="N110" s="3">
        <f t="shared" si="83"/>
        <v>0</v>
      </c>
      <c r="O110" s="3">
        <f t="shared" si="84"/>
        <v>0</v>
      </c>
      <c r="P110" s="5">
        <f t="shared" si="85"/>
        <v>0</v>
      </c>
      <c r="Q110" s="3">
        <f t="shared" si="86"/>
        <v>0</v>
      </c>
      <c r="R110" s="5">
        <f t="shared" si="87"/>
        <v>0</v>
      </c>
      <c r="S110" s="3">
        <f t="shared" si="88"/>
        <v>0</v>
      </c>
      <c r="V110" s="1">
        <f t="shared" si="99"/>
        <v>15</v>
      </c>
      <c r="X110" s="3"/>
      <c r="Y110" s="3">
        <f t="shared" si="101"/>
        <v>105728.34741006384</v>
      </c>
      <c r="Z110" s="3">
        <f t="shared" si="102"/>
        <v>50000</v>
      </c>
      <c r="AA110" s="3">
        <f t="shared" si="103"/>
        <v>55728.347410063841</v>
      </c>
      <c r="AB110" s="6">
        <f t="shared" si="104"/>
        <v>31.268174882239983</v>
      </c>
      <c r="AC110" s="6"/>
      <c r="AD110" s="5">
        <f t="shared" si="105"/>
        <v>3381.3405422046717</v>
      </c>
      <c r="AE110" s="3">
        <f t="shared" si="106"/>
        <v>2960.3937274817877</v>
      </c>
      <c r="AF110" s="3"/>
      <c r="AG110" s="3">
        <f t="shared" si="109"/>
        <v>2960.3937274817877</v>
      </c>
      <c r="AH110" s="3">
        <f t="shared" si="79"/>
        <v>2326.023643021405</v>
      </c>
      <c r="AI110" s="3">
        <f t="shared" si="91"/>
        <v>111014.76478056703</v>
      </c>
    </row>
    <row r="111" spans="2:35" x14ac:dyDescent="0.25">
      <c r="B111" s="1">
        <f t="shared" si="92"/>
        <v>16</v>
      </c>
      <c r="D111" s="3">
        <f t="shared" si="93"/>
        <v>179.77190546950587</v>
      </c>
      <c r="E111" s="6">
        <f t="shared" si="94"/>
        <v>31.956074729649263</v>
      </c>
      <c r="F111" s="6">
        <f t="shared" si="107"/>
        <v>22.628581574828388</v>
      </c>
      <c r="G111" s="5">
        <f t="shared" si="108"/>
        <v>112.28848509748177</v>
      </c>
      <c r="H111" s="3">
        <f t="shared" si="80"/>
        <v>5.0336133531461646</v>
      </c>
      <c r="I111" s="3">
        <f t="shared" si="97"/>
        <v>3.7560822841176678</v>
      </c>
      <c r="J111" s="3">
        <f t="shared" si="81"/>
        <v>3.7560822841176678</v>
      </c>
      <c r="K111" s="3">
        <f t="shared" si="98"/>
        <v>3.9549819203291294</v>
      </c>
      <c r="L111" s="3">
        <f t="shared" si="82"/>
        <v>187.48296967395265</v>
      </c>
      <c r="M111" s="17">
        <v>0</v>
      </c>
      <c r="N111" s="3">
        <f t="shared" si="83"/>
        <v>0</v>
      </c>
      <c r="O111" s="3">
        <f t="shared" si="84"/>
        <v>0</v>
      </c>
      <c r="P111" s="5">
        <f t="shared" si="85"/>
        <v>0</v>
      </c>
      <c r="Q111" s="3">
        <f t="shared" si="86"/>
        <v>0</v>
      </c>
      <c r="R111" s="5">
        <f t="shared" si="87"/>
        <v>0</v>
      </c>
      <c r="S111" s="3">
        <f t="shared" si="88"/>
        <v>0</v>
      </c>
      <c r="V111" s="1">
        <f t="shared" si="99"/>
        <v>16</v>
      </c>
      <c r="X111" s="3"/>
      <c r="Y111" s="3">
        <f t="shared" si="101"/>
        <v>111014.76478056704</v>
      </c>
      <c r="Z111" s="3">
        <f t="shared" si="102"/>
        <v>50000</v>
      </c>
      <c r="AA111" s="3">
        <f t="shared" si="103"/>
        <v>61014.764780567042</v>
      </c>
      <c r="AB111" s="6">
        <f t="shared" si="104"/>
        <v>31.956074729649263</v>
      </c>
      <c r="AC111" s="6"/>
      <c r="AD111" s="5">
        <f t="shared" si="105"/>
        <v>3473.9800091143888</v>
      </c>
      <c r="AE111" s="3">
        <f t="shared" si="106"/>
        <v>3108.413413855877</v>
      </c>
      <c r="AF111" s="3"/>
      <c r="AG111" s="3">
        <f t="shared" si="109"/>
        <v>3108.413413855877</v>
      </c>
      <c r="AH111" s="3">
        <f t="shared" si="79"/>
        <v>2442.3248251724754</v>
      </c>
      <c r="AI111" s="3">
        <f t="shared" si="91"/>
        <v>116565.50301959539</v>
      </c>
    </row>
    <row r="112" spans="2:35" x14ac:dyDescent="0.25">
      <c r="B112" s="1">
        <f t="shared" si="92"/>
        <v>17</v>
      </c>
      <c r="D112" s="3">
        <f t="shared" si="93"/>
        <v>187.48296967395265</v>
      </c>
      <c r="E112" s="6">
        <f t="shared" si="94"/>
        <v>32.65910837370155</v>
      </c>
      <c r="F112" s="6">
        <f t="shared" si="107"/>
        <v>22.638844583737011</v>
      </c>
      <c r="G112" s="5">
        <f t="shared" si="108"/>
        <v>112.40349381851416</v>
      </c>
      <c r="H112" s="3">
        <f t="shared" si="80"/>
        <v>5.2495231508706741</v>
      </c>
      <c r="I112" s="3">
        <f t="shared" si="97"/>
        <v>3.9171941751796968</v>
      </c>
      <c r="J112" s="3">
        <f t="shared" si="81"/>
        <v>0</v>
      </c>
      <c r="K112" s="3">
        <f t="shared" si="98"/>
        <v>4.1246253328269589</v>
      </c>
      <c r="L112" s="3">
        <f t="shared" si="82"/>
        <v>195.52478918195931</v>
      </c>
      <c r="M112" s="17">
        <v>0</v>
      </c>
      <c r="N112" s="3">
        <f t="shared" si="83"/>
        <v>0</v>
      </c>
      <c r="O112" s="3">
        <f t="shared" si="84"/>
        <v>0</v>
      </c>
      <c r="P112" s="5">
        <f t="shared" si="85"/>
        <v>0</v>
      </c>
      <c r="Q112" s="3">
        <f t="shared" si="86"/>
        <v>0</v>
      </c>
      <c r="R112" s="5">
        <f t="shared" si="87"/>
        <v>0</v>
      </c>
      <c r="S112" s="3">
        <f t="shared" si="88"/>
        <v>0</v>
      </c>
      <c r="V112" s="1">
        <f t="shared" si="99"/>
        <v>17</v>
      </c>
      <c r="X112" s="3"/>
      <c r="Y112" s="3">
        <f t="shared" si="101"/>
        <v>116565.5030195954</v>
      </c>
      <c r="Z112" s="3">
        <f t="shared" si="102"/>
        <v>50000</v>
      </c>
      <c r="AA112" s="3">
        <f t="shared" si="103"/>
        <v>66565.503019595402</v>
      </c>
      <c r="AB112" s="6">
        <f>AB111*(1+$E$3)</f>
        <v>32.65910837370155</v>
      </c>
      <c r="AC112" s="6"/>
      <c r="AD112" s="5">
        <f t="shared" si="105"/>
        <v>3569.1575436106737</v>
      </c>
      <c r="AE112" s="3">
        <f t="shared" si="106"/>
        <v>3263.8340845486714</v>
      </c>
      <c r="AF112" s="3"/>
      <c r="AG112" s="3">
        <f>AE112-AM113</f>
        <v>0</v>
      </c>
      <c r="AH112" s="3">
        <f t="shared" si="79"/>
        <v>2564.441066431099</v>
      </c>
      <c r="AI112" s="3">
        <f t="shared" si="91"/>
        <v>122393.77817057517</v>
      </c>
    </row>
    <row r="113" spans="1:48" x14ac:dyDescent="0.25">
      <c r="A113" s="20" t="s">
        <v>47</v>
      </c>
      <c r="B113" s="8">
        <f t="shared" si="92"/>
        <v>18</v>
      </c>
      <c r="C113" s="8"/>
      <c r="D113" s="11">
        <f t="shared" si="93"/>
        <v>143.52241552205973</v>
      </c>
      <c r="E113" s="12">
        <f t="shared" si="94"/>
        <v>33.377608757922985</v>
      </c>
      <c r="F113" s="12">
        <f t="shared" si="107"/>
        <v>22.638844583737011</v>
      </c>
      <c r="G113" s="13">
        <f t="shared" si="108"/>
        <v>112.40349381851416</v>
      </c>
      <c r="H113" s="11">
        <f t="shared" si="80"/>
        <v>4.0186276346176726</v>
      </c>
      <c r="I113" s="11">
        <f t="shared" si="97"/>
        <v>2.998699940951707</v>
      </c>
      <c r="J113" s="11">
        <f t="shared" si="81"/>
        <v>0</v>
      </c>
      <c r="K113" s="11">
        <f t="shared" si="98"/>
        <v>3.1574931414853142</v>
      </c>
      <c r="L113" s="11">
        <f t="shared" si="82"/>
        <v>149.67860860449673</v>
      </c>
      <c r="M113" s="17">
        <v>52.002373659899568</v>
      </c>
      <c r="N113" s="11">
        <f>MIN(M113,I112)</f>
        <v>3.9171941751796968</v>
      </c>
      <c r="O113" s="11">
        <f>M113-N113</f>
        <v>48.085179484719873</v>
      </c>
      <c r="P113" s="13">
        <f>O113/E113</f>
        <v>1.4406418336755682</v>
      </c>
      <c r="Q113" s="11">
        <f>(E113-F113)*P113</f>
        <v>15.47071291130878</v>
      </c>
      <c r="R113" s="13">
        <f>Q113*$J$4</f>
        <v>3.3571447017540055</v>
      </c>
      <c r="S113" s="11">
        <f>M113-R113</f>
        <v>48.645228958145566</v>
      </c>
      <c r="U113" s="20" t="s">
        <v>47</v>
      </c>
      <c r="V113" s="8">
        <f t="shared" si="99"/>
        <v>18</v>
      </c>
      <c r="W113" s="8"/>
      <c r="X113" s="8"/>
      <c r="Y113" s="11">
        <f t="shared" si="101"/>
        <v>89520.927045674602</v>
      </c>
      <c r="Z113" s="11">
        <f t="shared" si="102"/>
        <v>36570.865114120817</v>
      </c>
      <c r="AA113" s="11">
        <f>Y113-Z113</f>
        <v>52950.061931553784</v>
      </c>
      <c r="AB113" s="12">
        <f>AB112*(1+$E$3)</f>
        <v>33.377608757922985</v>
      </c>
      <c r="AC113" s="12"/>
      <c r="AD113" s="13">
        <f t="shared" si="105"/>
        <v>2682.0653239403987</v>
      </c>
      <c r="AE113" s="11">
        <f t="shared" si="106"/>
        <v>2506.5859572788891</v>
      </c>
      <c r="AF113" s="11"/>
      <c r="AG113" s="11">
        <f t="shared" ref="AG113:AG116" si="110">AE113-AM114</f>
        <v>0</v>
      </c>
      <c r="AH113" s="11">
        <f t="shared" si="79"/>
        <v>1969.4603950048415</v>
      </c>
      <c r="AI113" s="11">
        <f t="shared" si="91"/>
        <v>93996.97339795834</v>
      </c>
      <c r="AJ113" s="17">
        <v>32872.851124900575</v>
      </c>
      <c r="AK113" s="11">
        <f>AJ113*(Z112/(Y112+AE112+AH112))</f>
        <v>13429.134885879183</v>
      </c>
      <c r="AL113" s="11">
        <f>AJ113*(AA112+AE112+AH112)/(Y112+AE112+AH112)</f>
        <v>19443.716239021393</v>
      </c>
      <c r="AM113" s="11">
        <f>MIN(AE112,AL113)</f>
        <v>3263.8340845486714</v>
      </c>
      <c r="AN113" s="11">
        <f>AL113-AM113</f>
        <v>16179.882154472722</v>
      </c>
      <c r="AO113" s="8"/>
      <c r="AP113" s="8"/>
      <c r="AQ113" s="13">
        <f>AN113/AB113+AK113/AB113</f>
        <v>887.09221967027474</v>
      </c>
      <c r="AR113" s="8"/>
      <c r="AS113" s="11">
        <f>IF((AL113-$AF$6)&lt;0,0,(AL113-$AF$6)*$AF$5)</f>
        <v>1565.6476059237893</v>
      </c>
      <c r="AT113" s="11">
        <f>AJ113-AS113</f>
        <v>31307.203518976785</v>
      </c>
    </row>
    <row r="114" spans="1:48" x14ac:dyDescent="0.25">
      <c r="A114" s="20" t="s">
        <v>47</v>
      </c>
      <c r="B114" s="8">
        <f t="shared" si="92"/>
        <v>19</v>
      </c>
      <c r="C114" s="8"/>
      <c r="D114" s="11">
        <f t="shared" si="93"/>
        <v>97.676234944597184</v>
      </c>
      <c r="E114" s="12">
        <f t="shared" si="94"/>
        <v>34.111916150597288</v>
      </c>
      <c r="F114" s="12">
        <f t="shared" si="107"/>
        <v>22.638844583737011</v>
      </c>
      <c r="G114" s="13">
        <f t="shared" si="108"/>
        <v>112.40349381851416</v>
      </c>
      <c r="H114" s="11">
        <f t="shared" si="80"/>
        <v>2.7349345784487213</v>
      </c>
      <c r="I114" s="11">
        <f t="shared" si="97"/>
        <v>2.0408081824384356</v>
      </c>
      <c r="J114" s="11">
        <f t="shared" si="81"/>
        <v>0</v>
      </c>
      <c r="K114" s="11">
        <f t="shared" si="98"/>
        <v>2.1488771687811381</v>
      </c>
      <c r="L114" s="11">
        <f t="shared" si="82"/>
        <v>101.86592029581676</v>
      </c>
      <c r="M114" s="11">
        <f>M113</f>
        <v>52.002373659899568</v>
      </c>
      <c r="N114" s="11">
        <f t="shared" ref="N114:N116" si="111">MIN(M114,I113)</f>
        <v>2.998699940951707</v>
      </c>
      <c r="O114" s="11">
        <f t="shared" ref="O114:O116" si="112">M114-N114</f>
        <v>49.003673718947859</v>
      </c>
      <c r="P114" s="13">
        <f>O114/E114</f>
        <v>1.4365558798458122</v>
      </c>
      <c r="Q114" s="11">
        <f>(E114-F114)*P114</f>
        <v>16.481708419264937</v>
      </c>
      <c r="R114" s="13">
        <f>Q114*$J$4</f>
        <v>3.5765307269804913</v>
      </c>
      <c r="S114" s="11">
        <f t="shared" ref="S114:S116" si="113">M114-R114</f>
        <v>48.425842932919075</v>
      </c>
      <c r="U114" s="20" t="s">
        <v>47</v>
      </c>
      <c r="V114" s="8">
        <f>V113+1</f>
        <v>19</v>
      </c>
      <c r="W114" s="8"/>
      <c r="X114" s="8"/>
      <c r="Y114" s="11">
        <f t="shared" si="101"/>
        <v>61124.122273057757</v>
      </c>
      <c r="Z114" s="11">
        <f>W114+Z113-AK114</f>
        <v>23781.212841854933</v>
      </c>
      <c r="AA114" s="11">
        <f>Y114-Z114</f>
        <v>37342.909431202825</v>
      </c>
      <c r="AB114" s="12">
        <f>AB113*(1+$E$3)</f>
        <v>34.111916150597288</v>
      </c>
      <c r="AC114" s="12"/>
      <c r="AD114" s="13">
        <f t="shared" si="105"/>
        <v>1791.8700902994419</v>
      </c>
      <c r="AE114" s="11">
        <f t="shared" si="106"/>
        <v>1711.4754236456172</v>
      </c>
      <c r="AF114" s="11"/>
      <c r="AG114" s="11">
        <f t="shared" si="110"/>
        <v>0</v>
      </c>
      <c r="AH114" s="11">
        <f t="shared" si="79"/>
        <v>1344.7306900072708</v>
      </c>
      <c r="AI114" s="11">
        <f t="shared" si="91"/>
        <v>64180.328386710644</v>
      </c>
      <c r="AJ114" s="11">
        <f>AJ113</f>
        <v>32872.851124900575</v>
      </c>
      <c r="AK114" s="11">
        <f>AJ114*(Z113/(Y113+AE113+AH113))</f>
        <v>12789.652272265885</v>
      </c>
      <c r="AL114" s="11">
        <f>AJ114*(AA113+AE113+AH113)/(Y113+AE113+AH113)</f>
        <v>20083.198852634687</v>
      </c>
      <c r="AM114" s="11">
        <f>MIN(AE113,AL114)</f>
        <v>2506.5859572788891</v>
      </c>
      <c r="AN114" s="11">
        <f>AL114-AM114</f>
        <v>17576.612895355796</v>
      </c>
      <c r="AO114" s="8"/>
      <c r="AP114" s="8"/>
      <c r="AQ114" s="13">
        <f>AN114/AB114+AK114/AB114</f>
        <v>890.19523364095676</v>
      </c>
      <c r="AR114" s="8"/>
      <c r="AS114" s="11">
        <f t="shared" ref="AS114:AS115" si="114">IF((AL114-$AF$6)&lt;0,0,(AL114-$AF$6)*$AF$5)</f>
        <v>1693.8638699532548</v>
      </c>
      <c r="AT114" s="11">
        <f>AJ114-AS114</f>
        <v>31178.987254947322</v>
      </c>
    </row>
    <row r="115" spans="1:48" x14ac:dyDescent="0.25">
      <c r="A115" s="20" t="s">
        <v>47</v>
      </c>
      <c r="B115" s="8">
        <f t="shared" si="92"/>
        <v>20</v>
      </c>
      <c r="C115" s="8"/>
      <c r="D115" s="11">
        <f t="shared" si="93"/>
        <v>49.863546635917189</v>
      </c>
      <c r="E115" s="12">
        <f t="shared" si="94"/>
        <v>34.862378305910433</v>
      </c>
      <c r="F115" s="12">
        <f t="shared" si="107"/>
        <v>22.638844583737011</v>
      </c>
      <c r="G115" s="13">
        <f t="shared" si="108"/>
        <v>112.40349381851416</v>
      </c>
      <c r="H115" s="11">
        <f t="shared" si="80"/>
        <v>1.3961793058056813</v>
      </c>
      <c r="I115" s="11">
        <f t="shared" si="97"/>
        <v>1.0418289979921993</v>
      </c>
      <c r="J115" s="11">
        <f t="shared" si="81"/>
        <v>0</v>
      </c>
      <c r="K115" s="11">
        <f t="shared" si="98"/>
        <v>1.0969980259901781</v>
      </c>
      <c r="L115" s="11">
        <f t="shared" si="82"/>
        <v>52.002373659899561</v>
      </c>
      <c r="M115" s="11">
        <f>M114</f>
        <v>52.002373659899568</v>
      </c>
      <c r="N115" s="11">
        <f t="shared" si="111"/>
        <v>2.0408081824384356</v>
      </c>
      <c r="O115" s="11">
        <f t="shared" si="112"/>
        <v>49.961565477461136</v>
      </c>
      <c r="P115" s="13">
        <f>O115/E115</f>
        <v>1.4331083507573219</v>
      </c>
      <c r="Q115" s="11">
        <f>(E115-F115)*P115</f>
        <v>17.51764825301046</v>
      </c>
      <c r="R115" s="13">
        <f>Q115*$J$4</f>
        <v>3.8013296709032698</v>
      </c>
      <c r="S115" s="11">
        <f t="shared" si="113"/>
        <v>48.201043988996297</v>
      </c>
      <c r="U115" s="20" t="s">
        <v>47</v>
      </c>
      <c r="V115" s="8">
        <f t="shared" si="99"/>
        <v>20</v>
      </c>
      <c r="W115" s="8"/>
      <c r="X115" s="8"/>
      <c r="Y115" s="11">
        <f t="shared" si="101"/>
        <v>31307.477261810076</v>
      </c>
      <c r="Z115" s="11">
        <f t="shared" ref="Z115:Z116" si="115">W115+Z114-AK115</f>
        <v>11600.591630173136</v>
      </c>
      <c r="AA115" s="11">
        <f t="shared" ref="AA115:AA116" si="116">Y115-Z115</f>
        <v>19706.885631636942</v>
      </c>
      <c r="AB115" s="12">
        <f t="shared" ref="AB115:AB116" si="117">AB114*(1+$E$3)</f>
        <v>34.862378305910433</v>
      </c>
      <c r="AC115" s="12"/>
      <c r="AD115" s="13">
        <f t="shared" si="105"/>
        <v>898.03044953196229</v>
      </c>
      <c r="AE115" s="11">
        <f t="shared" si="106"/>
        <v>876.60936333068219</v>
      </c>
      <c r="AF115" s="11"/>
      <c r="AG115" s="11">
        <f t="shared" si="110"/>
        <v>0</v>
      </c>
      <c r="AH115" s="11">
        <f t="shared" si="79"/>
        <v>688.76449975982177</v>
      </c>
      <c r="AI115" s="11">
        <f t="shared" si="91"/>
        <v>32872.851124900582</v>
      </c>
      <c r="AJ115" s="11">
        <f>AJ114</f>
        <v>32872.851124900575</v>
      </c>
      <c r="AK115" s="11">
        <f>AJ115*(Z114/(Y114+AE114+AH114))</f>
        <v>12180.621211681797</v>
      </c>
      <c r="AL115" s="11">
        <f>AJ115*(AA114+AE114+AH114)/(Y114+AE114+AH114)</f>
        <v>20692.22991321878</v>
      </c>
      <c r="AM115" s="11">
        <f t="shared" ref="AM115:AM116" si="118">MIN(AE114,AL115)</f>
        <v>1711.4754236456172</v>
      </c>
      <c r="AN115" s="11">
        <f t="shared" ref="AN115:AN116" si="119">AL115-AM115</f>
        <v>18980.754489573163</v>
      </c>
      <c r="AO115" s="8"/>
      <c r="AP115" s="8"/>
      <c r="AQ115" s="13">
        <f t="shared" ref="AQ115" si="120">AN115/AB115+AK115/AB115</f>
        <v>893.83964076747975</v>
      </c>
      <c r="AR115" s="8"/>
      <c r="AS115" s="11">
        <f t="shared" si="114"/>
        <v>1815.9745976003655</v>
      </c>
      <c r="AT115" s="11">
        <f t="shared" ref="AT115:AT116" si="121">AJ115-AS115</f>
        <v>31056.87652730021</v>
      </c>
    </row>
    <row r="116" spans="1:48" x14ac:dyDescent="0.25">
      <c r="A116" s="20" t="s">
        <v>47</v>
      </c>
      <c r="B116" s="8">
        <f t="shared" si="92"/>
        <v>21</v>
      </c>
      <c r="C116" s="8"/>
      <c r="D116" s="11">
        <f t="shared" si="93"/>
        <v>-7.1054273576010019E-15</v>
      </c>
      <c r="E116" s="12">
        <f t="shared" si="94"/>
        <v>35.629350628640459</v>
      </c>
      <c r="F116" s="12">
        <f t="shared" si="107"/>
        <v>22.638844583737011</v>
      </c>
      <c r="G116" s="13">
        <f t="shared" si="108"/>
        <v>112.40349381851416</v>
      </c>
      <c r="H116" s="11">
        <f t="shared" si="80"/>
        <v>-1.9895196601282806E-16</v>
      </c>
      <c r="I116" s="11">
        <f t="shared" si="97"/>
        <v>-1.4845795703877228E-16</v>
      </c>
      <c r="J116" s="11">
        <f t="shared" si="81"/>
        <v>-1.4845795703877228E-16</v>
      </c>
      <c r="K116" s="11">
        <f t="shared" si="98"/>
        <v>-1.5631940186722206E-16</v>
      </c>
      <c r="L116" s="11">
        <f t="shared" si="82"/>
        <v>-7.410204716506996E-15</v>
      </c>
      <c r="M116" s="11">
        <f>M115</f>
        <v>52.002373659899568</v>
      </c>
      <c r="N116" s="11">
        <f t="shared" si="111"/>
        <v>1.0418289979921993</v>
      </c>
      <c r="O116" s="11">
        <f t="shared" si="112"/>
        <v>50.96054466190737</v>
      </c>
      <c r="P116" s="13">
        <f>O116/E116</f>
        <v>1.4302967571051663</v>
      </c>
      <c r="Q116" s="11">
        <f>(E116-F116)*P116</f>
        <v>18.580278669180462</v>
      </c>
      <c r="R116" s="13">
        <f>Q116*$J$4</f>
        <v>4.0319204712121604</v>
      </c>
      <c r="S116" s="11">
        <f t="shared" si="113"/>
        <v>47.970453188687408</v>
      </c>
      <c r="U116" s="20" t="s">
        <v>47</v>
      </c>
      <c r="V116" s="8">
        <f t="shared" si="99"/>
        <v>21</v>
      </c>
      <c r="W116" s="8"/>
      <c r="X116" s="8"/>
      <c r="Y116" s="11">
        <f t="shared" si="101"/>
        <v>0</v>
      </c>
      <c r="Z116" s="11">
        <f t="shared" si="115"/>
        <v>0</v>
      </c>
      <c r="AA116" s="11">
        <f t="shared" si="116"/>
        <v>0</v>
      </c>
      <c r="AB116" s="12">
        <f t="shared" si="117"/>
        <v>35.629350628640459</v>
      </c>
      <c r="AC116" s="12"/>
      <c r="AD116" s="13">
        <f t="shared" si="105"/>
        <v>0</v>
      </c>
      <c r="AE116" s="11">
        <f t="shared" si="106"/>
        <v>0</v>
      </c>
      <c r="AF116" s="11"/>
      <c r="AG116" s="11">
        <f t="shared" si="110"/>
        <v>0</v>
      </c>
      <c r="AH116" s="11">
        <f t="shared" si="79"/>
        <v>0</v>
      </c>
      <c r="AI116" s="11">
        <f t="shared" si="91"/>
        <v>0</v>
      </c>
      <c r="AJ116" s="11">
        <f>AJ115</f>
        <v>32872.851124900575</v>
      </c>
      <c r="AK116" s="11">
        <f>AJ116*(Z115/(Y115+AE115+AH115))</f>
        <v>11600.591630173134</v>
      </c>
      <c r="AL116" s="11">
        <f>AJ116*(AA115+AE115+AH115)/(Y115+AE115+AH115)</f>
        <v>21272.259494727441</v>
      </c>
      <c r="AM116" s="11">
        <f t="shared" si="118"/>
        <v>876.60936333068219</v>
      </c>
      <c r="AN116" s="11">
        <f t="shared" si="119"/>
        <v>20395.65013139676</v>
      </c>
      <c r="AO116" s="8"/>
      <c r="AP116" s="8"/>
      <c r="AQ116" s="13">
        <f>AN116/AB116+AK116/AB116</f>
        <v>898.03044953196218</v>
      </c>
      <c r="AR116" s="8"/>
      <c r="AS116" s="11">
        <f>IF((AL116-$AF$6)&lt;0,0,(AL116-$AF$6)*$AF$5)</f>
        <v>1932.2705286928519</v>
      </c>
      <c r="AT116" s="11">
        <f t="shared" si="121"/>
        <v>30940.580596207725</v>
      </c>
    </row>
    <row r="117" spans="1:48" x14ac:dyDescent="0.25">
      <c r="A117" s="1" t="s">
        <v>56</v>
      </c>
      <c r="B117" s="3"/>
      <c r="C117" s="3">
        <f>SUM(C95:C116)</f>
        <v>2500</v>
      </c>
      <c r="D117" s="3"/>
      <c r="E117" s="3"/>
      <c r="F117" s="3"/>
      <c r="G117" s="3"/>
      <c r="H117" s="3">
        <f>SUM(H95:H116)</f>
        <v>143.28297845476882</v>
      </c>
      <c r="I117" s="3">
        <f>SUM(I95:I116)</f>
        <v>106.91775852294845</v>
      </c>
      <c r="J117" s="3"/>
      <c r="K117" s="3">
        <f>SUM(K95:K116)</f>
        <v>112.57948307160406</v>
      </c>
      <c r="L117" s="3"/>
      <c r="M117" s="3"/>
      <c r="N117" s="3"/>
      <c r="O117" s="3"/>
      <c r="P117" s="5"/>
      <c r="Q117" s="3"/>
      <c r="R117" s="3">
        <f>SUM(R95:R116)</f>
        <v>26.254672525803912</v>
      </c>
      <c r="S117" s="3">
        <f>SUM(S95:S116)</f>
        <v>2693.2425690687492</v>
      </c>
      <c r="U117" s="1" t="s">
        <v>56</v>
      </c>
      <c r="W117" s="3">
        <f>SUM(W95:W116)</f>
        <v>50000</v>
      </c>
      <c r="X117" s="3">
        <f>SUM(X95:X116)</f>
        <v>1000</v>
      </c>
      <c r="Y117" s="3"/>
      <c r="Z117" s="3"/>
      <c r="AA117" s="3"/>
      <c r="AB117" s="6"/>
      <c r="AC117" s="6"/>
      <c r="AD117" s="5"/>
      <c r="AE117" s="3">
        <f>SUM(AE95:AE116)</f>
        <v>45075.186519777271</v>
      </c>
      <c r="AF117" s="3"/>
      <c r="AG117" s="3"/>
      <c r="AH117" s="3">
        <f>SUM(AH95:AH116)</f>
        <v>35416.217979825</v>
      </c>
      <c r="AI117" s="3"/>
      <c r="AJ117" s="3"/>
      <c r="AS117" s="3">
        <f>SUM(AS95:AS116)</f>
        <v>7007.7566021702623</v>
      </c>
      <c r="AT117" s="3">
        <f>SUM(AT95:AT116)</f>
        <v>124483.64789743205</v>
      </c>
      <c r="AV117" s="3"/>
    </row>
    <row r="118" spans="1:48" x14ac:dyDescent="0.25">
      <c r="A118" s="1" t="s">
        <v>62</v>
      </c>
      <c r="C118" s="3">
        <f>SUM(C95:C112)</f>
        <v>2500</v>
      </c>
      <c r="D118" s="3"/>
      <c r="G118" s="5"/>
      <c r="H118" s="3">
        <f>SUM(H95:H112)</f>
        <v>135.13323693589675</v>
      </c>
      <c r="I118" s="3">
        <f>SUM(I95:I112)</f>
        <v>100.8364214015661</v>
      </c>
      <c r="K118" s="3">
        <f>SUM(K95:K112)</f>
        <v>106.17611473534743</v>
      </c>
      <c r="R118" s="3">
        <f>SUM(R95:R112)</f>
        <v>11.487746954953982</v>
      </c>
      <c r="S118" s="3">
        <f>SUM(S95:S112)</f>
        <v>2500.0000000000005</v>
      </c>
      <c r="U118" s="1" t="s">
        <v>62</v>
      </c>
      <c r="W118" s="3">
        <f>SUM(W95:W112)</f>
        <v>50000</v>
      </c>
      <c r="X118" s="3">
        <f>SUM(X95:X112)</f>
        <v>1000</v>
      </c>
      <c r="Y118" s="3"/>
      <c r="Z118" s="3"/>
      <c r="AA118" s="3"/>
      <c r="AB118" s="6"/>
      <c r="AC118" s="6"/>
      <c r="AD118" s="5"/>
      <c r="AE118" s="3">
        <f>SUM(AE95:AE112)</f>
        <v>39980.515775522086</v>
      </c>
      <c r="AF118" s="3"/>
      <c r="AG118" s="3"/>
      <c r="AH118" s="3">
        <f>SUM(AH95:AH112)</f>
        <v>31413.262395053069</v>
      </c>
      <c r="AI118" s="3"/>
      <c r="AJ118" s="3"/>
      <c r="AS118" s="3">
        <f>SUM(AS95:AS112)</f>
        <v>0</v>
      </c>
      <c r="AT118" s="3">
        <f>SUM(AT95:AT112)</f>
        <v>0</v>
      </c>
      <c r="AV118" s="3"/>
    </row>
    <row r="119" spans="1:48" x14ac:dyDescent="0.25">
      <c r="A119" s="1" t="s">
        <v>47</v>
      </c>
      <c r="C119" s="3">
        <f>SUM(C113:C116)</f>
        <v>0</v>
      </c>
      <c r="D119" s="3"/>
      <c r="G119" s="5"/>
      <c r="H119" s="3">
        <f>SUM(H113:H116)</f>
        <v>8.1497415188720748</v>
      </c>
      <c r="I119" s="3">
        <f>SUM(I113:I116)</f>
        <v>6.0813371213823419</v>
      </c>
      <c r="K119" s="3">
        <f>SUM(K113:K116)</f>
        <v>6.40336833625663</v>
      </c>
      <c r="R119" s="3">
        <f>SUM(R113:R116)</f>
        <v>14.766925570849928</v>
      </c>
      <c r="S119" s="3">
        <f>SUM(S113:S116)</f>
        <v>193.24256906874834</v>
      </c>
      <c r="U119" s="1" t="s">
        <v>47</v>
      </c>
      <c r="W119" s="3">
        <f>SUM(W113:W116)</f>
        <v>0</v>
      </c>
      <c r="X119" s="3">
        <f>SUM(X113:X116)</f>
        <v>0</v>
      </c>
      <c r="AD119" s="5"/>
      <c r="AE119" s="3">
        <f>SUM(AE113:AE116)</f>
        <v>5094.6707442551879</v>
      </c>
      <c r="AH119" s="3">
        <f>SUM(AH113:AH116)</f>
        <v>4002.9555847719339</v>
      </c>
      <c r="AS119" s="3">
        <f>SUM(AS113:AS116)</f>
        <v>7007.7566021702623</v>
      </c>
      <c r="AT119" s="3">
        <f>SUM(AT113:AT116)</f>
        <v>124483.64789743205</v>
      </c>
      <c r="AV119" s="3">
        <f>AT119+S119</f>
        <v>124676.8904665008</v>
      </c>
    </row>
    <row r="120" spans="1:48" x14ac:dyDescent="0.25">
      <c r="AT120" s="3"/>
    </row>
    <row r="122" spans="1:48" ht="81.75" customHeight="1" x14ac:dyDescent="0.25">
      <c r="A122" s="19" t="s">
        <v>37</v>
      </c>
      <c r="C122" s="10" t="s">
        <v>23</v>
      </c>
      <c r="D122" s="10" t="s">
        <v>22</v>
      </c>
      <c r="E122" s="10" t="s">
        <v>29</v>
      </c>
      <c r="F122" s="10" t="s">
        <v>9</v>
      </c>
      <c r="G122" s="10" t="s">
        <v>11</v>
      </c>
      <c r="H122" s="10" t="s">
        <v>4</v>
      </c>
      <c r="I122" s="10" t="s">
        <v>6</v>
      </c>
      <c r="J122" s="10" t="s">
        <v>32</v>
      </c>
      <c r="K122" s="10" t="s">
        <v>5</v>
      </c>
      <c r="L122" s="10" t="s">
        <v>46</v>
      </c>
      <c r="M122" s="10" t="s">
        <v>19</v>
      </c>
      <c r="N122" s="10" t="s">
        <v>30</v>
      </c>
      <c r="O122" s="10" t="s">
        <v>18</v>
      </c>
      <c r="P122" s="10" t="s">
        <v>17</v>
      </c>
      <c r="Q122" s="10" t="s">
        <v>14</v>
      </c>
      <c r="R122" s="10" t="s">
        <v>54</v>
      </c>
      <c r="S122" s="10" t="s">
        <v>20</v>
      </c>
    </row>
    <row r="123" spans="1:48" x14ac:dyDescent="0.25">
      <c r="B123" s="1">
        <v>0</v>
      </c>
      <c r="C123" s="3">
        <v>2500</v>
      </c>
      <c r="D123" s="3">
        <f>C123</f>
        <v>2500</v>
      </c>
      <c r="E123" s="6">
        <v>22.56</v>
      </c>
      <c r="F123" s="6">
        <v>22.56</v>
      </c>
      <c r="G123" s="5">
        <f>D123/E123</f>
        <v>110.81560283687944</v>
      </c>
      <c r="H123" s="3">
        <f>D123*$E$2</f>
        <v>70</v>
      </c>
      <c r="I123" s="3">
        <f>H123*(1-$J$3)</f>
        <v>52.233999999999995</v>
      </c>
      <c r="J123" s="3">
        <f>I123-N124</f>
        <v>52.233999999999995</v>
      </c>
      <c r="K123" s="3">
        <f>D123*$E$3</f>
        <v>55.000000000000007</v>
      </c>
      <c r="L123" s="3">
        <f>D123+I123+K123</f>
        <v>2607.2339999999999</v>
      </c>
      <c r="M123" s="3"/>
    </row>
    <row r="124" spans="1:48" x14ac:dyDescent="0.25">
      <c r="B124" s="1">
        <f>B123+1</f>
        <v>1</v>
      </c>
      <c r="C124" s="3">
        <v>2500</v>
      </c>
      <c r="D124" s="3">
        <f>D123+I123+K123-N124-O124+C124</f>
        <v>5107.2340000000004</v>
      </c>
      <c r="E124" s="6">
        <f>E123*(1+$E$3)</f>
        <v>23.056319999999999</v>
      </c>
      <c r="F124" s="6">
        <f>(F123*G123+J123+C124)/G124</f>
        <v>22.808025600330826</v>
      </c>
      <c r="G124" s="5">
        <f>G123+(J123+C124)/E124</f>
        <v>221.51123856712607</v>
      </c>
      <c r="H124" s="3">
        <f t="shared" ref="H124:H144" si="122">D124*$E$2</f>
        <v>143.00255200000001</v>
      </c>
      <c r="I124" s="3">
        <f>H124*(1-$J$3)</f>
        <v>106.7085043024</v>
      </c>
      <c r="J124" s="3">
        <f t="shared" ref="J124:J144" si="123">I124-N125</f>
        <v>106.7085043024</v>
      </c>
      <c r="K124" s="3">
        <f>D124*$E$3</f>
        <v>112.35914800000002</v>
      </c>
      <c r="L124" s="3">
        <f t="shared" ref="L124:L144" si="124">D124+I124+K124</f>
        <v>5326.3016523024007</v>
      </c>
    </row>
    <row r="125" spans="1:48" x14ac:dyDescent="0.25">
      <c r="B125" s="1">
        <f t="shared" ref="B125:B144" si="125">B124+1</f>
        <v>2</v>
      </c>
      <c r="C125" s="3">
        <v>2500</v>
      </c>
      <c r="D125" s="3">
        <f t="shared" ref="D125:D144" si="126">D124+I124+K124-N125-O125+C125</f>
        <v>7826.3016523024007</v>
      </c>
      <c r="E125" s="6">
        <f t="shared" ref="E125:E144" si="127">E124*(1+$E$3)</f>
        <v>23.563559040000001</v>
      </c>
      <c r="F125" s="6">
        <f t="shared" ref="F125:F126" si="128">(F124*G124+J124+C125)/G125</f>
        <v>23.059671336716555</v>
      </c>
      <c r="G125" s="5">
        <f t="shared" ref="G125:G126" si="129">G124+(J124+C125)/E125</f>
        <v>332.1358050800801</v>
      </c>
      <c r="H125" s="3">
        <f t="shared" si="122"/>
        <v>219.13644626446722</v>
      </c>
      <c r="I125" s="3">
        <f>H125*(1-$J$3)</f>
        <v>163.51961620254545</v>
      </c>
      <c r="J125" s="3">
        <f t="shared" si="123"/>
        <v>163.51961620254545</v>
      </c>
      <c r="K125" s="3">
        <f t="shared" ref="K125:K144" si="130">D125*$E$3</f>
        <v>172.17863635065282</v>
      </c>
      <c r="L125" s="3">
        <f t="shared" si="124"/>
        <v>8161.9999048555992</v>
      </c>
    </row>
    <row r="126" spans="1:48" x14ac:dyDescent="0.25">
      <c r="B126" s="1">
        <f t="shared" si="125"/>
        <v>3</v>
      </c>
      <c r="C126" s="3">
        <v>2500</v>
      </c>
      <c r="D126" s="3">
        <f t="shared" si="126"/>
        <v>10661.999904855598</v>
      </c>
      <c r="E126" s="6">
        <f t="shared" si="127"/>
        <v>24.081957338880002</v>
      </c>
      <c r="F126" s="6">
        <f t="shared" si="128"/>
        <v>23.315052957841086</v>
      </c>
      <c r="G126" s="5">
        <f t="shared" si="129"/>
        <v>442.73809453361753</v>
      </c>
      <c r="H126" s="3">
        <f t="shared" si="122"/>
        <v>298.53599733595678</v>
      </c>
      <c r="I126" s="3">
        <f t="shared" ref="I126:I144" si="131">H126*(1-$J$3)</f>
        <v>222.76756121209095</v>
      </c>
      <c r="J126" s="3">
        <f t="shared" si="123"/>
        <v>222.76756121209095</v>
      </c>
      <c r="K126" s="3">
        <f t="shared" si="130"/>
        <v>234.56399790682318</v>
      </c>
      <c r="L126" s="3">
        <f t="shared" si="124"/>
        <v>11119.331463974513</v>
      </c>
    </row>
    <row r="127" spans="1:48" x14ac:dyDescent="0.25">
      <c r="B127" s="1">
        <f t="shared" si="125"/>
        <v>4</v>
      </c>
      <c r="C127" s="3">
        <v>2500</v>
      </c>
      <c r="D127" s="3">
        <f t="shared" si="126"/>
        <v>13619.331463974513</v>
      </c>
      <c r="E127" s="6">
        <f t="shared" si="127"/>
        <v>24.611760400335363</v>
      </c>
      <c r="F127" s="6">
        <f>(F126*G126+J126+C127)/G127</f>
        <v>23.574289835227091</v>
      </c>
      <c r="G127" s="5">
        <f>G126+(J126+C127)/E127</f>
        <v>553.36681498772168</v>
      </c>
      <c r="H127" s="3">
        <f t="shared" si="122"/>
        <v>381.3412809912864</v>
      </c>
      <c r="I127" s="3">
        <f t="shared" si="131"/>
        <v>284.5568638756979</v>
      </c>
      <c r="J127" s="3">
        <f t="shared" si="123"/>
        <v>284.5568638756979</v>
      </c>
      <c r="K127" s="3">
        <f t="shared" si="130"/>
        <v>299.62529220743932</v>
      </c>
      <c r="L127" s="3">
        <f t="shared" si="124"/>
        <v>14203.513620057651</v>
      </c>
    </row>
    <row r="128" spans="1:48" x14ac:dyDescent="0.25">
      <c r="B128" s="1">
        <f t="shared" si="125"/>
        <v>5</v>
      </c>
      <c r="C128" s="3">
        <v>2500</v>
      </c>
      <c r="D128" s="3">
        <f t="shared" si="126"/>
        <v>16703.513620057653</v>
      </c>
      <c r="E128" s="6">
        <f t="shared" si="127"/>
        <v>25.153219129142741</v>
      </c>
      <c r="F128" s="6">
        <f t="shared" ref="F128:F144" si="132">(F127*G127+J127+C128)/G128</f>
        <v>23.837505018747983</v>
      </c>
      <c r="G128" s="5">
        <f t="shared" ref="G128:G144" si="133">G127+(J127+C128)/E128</f>
        <v>664.07061196810446</v>
      </c>
      <c r="H128" s="3">
        <f t="shared" si="122"/>
        <v>467.69838136161428</v>
      </c>
      <c r="I128" s="3">
        <f t="shared" si="131"/>
        <v>348.99653217203655</v>
      </c>
      <c r="J128" s="3">
        <f t="shared" si="123"/>
        <v>348.99653217203655</v>
      </c>
      <c r="K128" s="3">
        <f t="shared" si="130"/>
        <v>367.47729964126842</v>
      </c>
      <c r="L128" s="3">
        <f t="shared" si="124"/>
        <v>17419.987451870958</v>
      </c>
    </row>
    <row r="129" spans="1:19" x14ac:dyDescent="0.25">
      <c r="B129" s="1">
        <f t="shared" si="125"/>
        <v>6</v>
      </c>
      <c r="C129" s="3">
        <v>2500</v>
      </c>
      <c r="D129" s="3">
        <f t="shared" si="126"/>
        <v>19919.987451870958</v>
      </c>
      <c r="E129" s="6">
        <f t="shared" si="127"/>
        <v>25.706589949983883</v>
      </c>
      <c r="F129" s="6">
        <f t="shared" si="132"/>
        <v>24.104825291930485</v>
      </c>
      <c r="G129" s="5">
        <f t="shared" si="133"/>
        <v>774.89808996947284</v>
      </c>
      <c r="H129" s="3">
        <f t="shared" si="122"/>
        <v>557.75964865238689</v>
      </c>
      <c r="I129" s="3">
        <f t="shared" si="131"/>
        <v>416.20024982441106</v>
      </c>
      <c r="J129" s="3">
        <f t="shared" si="123"/>
        <v>416.20024982441106</v>
      </c>
      <c r="K129" s="3">
        <f t="shared" si="130"/>
        <v>438.23972394116112</v>
      </c>
      <c r="L129" s="3">
        <f t="shared" si="124"/>
        <v>20774.427425636532</v>
      </c>
    </row>
    <row r="130" spans="1:19" x14ac:dyDescent="0.25">
      <c r="B130" s="1">
        <f t="shared" si="125"/>
        <v>7</v>
      </c>
      <c r="C130" s="3">
        <v>2500</v>
      </c>
      <c r="D130" s="3">
        <f t="shared" si="126"/>
        <v>23274.427425636532</v>
      </c>
      <c r="E130" s="6">
        <f t="shared" si="127"/>
        <v>26.272134928883528</v>
      </c>
      <c r="F130" s="6">
        <f t="shared" si="132"/>
        <v>24.376381227083915</v>
      </c>
      <c r="G130" s="5">
        <f t="shared" si="133"/>
        <v>885.8978339079963</v>
      </c>
      <c r="H130" s="3">
        <f t="shared" si="122"/>
        <v>651.68396791782288</v>
      </c>
      <c r="I130" s="3">
        <f t="shared" si="131"/>
        <v>486.28657686027941</v>
      </c>
      <c r="J130" s="3">
        <f t="shared" si="123"/>
        <v>486.28657686027941</v>
      </c>
      <c r="K130" s="3">
        <f t="shared" si="130"/>
        <v>512.03740336400369</v>
      </c>
      <c r="L130" s="3">
        <f t="shared" si="124"/>
        <v>24272.751405860814</v>
      </c>
    </row>
    <row r="131" spans="1:19" x14ac:dyDescent="0.25">
      <c r="B131" s="1">
        <f t="shared" si="125"/>
        <v>8</v>
      </c>
      <c r="C131" s="3">
        <v>2500</v>
      </c>
      <c r="D131" s="3">
        <f t="shared" si="126"/>
        <v>26772.751405860814</v>
      </c>
      <c r="E131" s="6">
        <f t="shared" si="127"/>
        <v>26.850121897318967</v>
      </c>
      <c r="F131" s="6">
        <f t="shared" si="132"/>
        <v>24.652307240296704</v>
      </c>
      <c r="G131" s="5">
        <f t="shared" si="133"/>
        <v>997.11843053249299</v>
      </c>
      <c r="H131" s="3">
        <f t="shared" si="122"/>
        <v>749.63703936410286</v>
      </c>
      <c r="I131" s="3">
        <f t="shared" si="131"/>
        <v>559.37915877349349</v>
      </c>
      <c r="J131" s="3">
        <f t="shared" si="123"/>
        <v>559.37915877349349</v>
      </c>
      <c r="K131" s="3">
        <f t="shared" si="130"/>
        <v>589.00053092893802</v>
      </c>
      <c r="L131" s="3">
        <f t="shared" si="124"/>
        <v>27921.131095563243</v>
      </c>
    </row>
    <row r="132" spans="1:19" x14ac:dyDescent="0.25">
      <c r="B132" s="1">
        <f t="shared" si="125"/>
        <v>9</v>
      </c>
      <c r="C132" s="3">
        <v>2500</v>
      </c>
      <c r="D132" s="3">
        <f t="shared" si="126"/>
        <v>30421.131095563243</v>
      </c>
      <c r="E132" s="6">
        <f t="shared" si="127"/>
        <v>27.440824579059985</v>
      </c>
      <c r="F132" s="6">
        <f t="shared" si="132"/>
        <v>24.932741646344649</v>
      </c>
      <c r="G132" s="5">
        <f t="shared" si="133"/>
        <v>1108.6084898038202</v>
      </c>
      <c r="H132" s="3">
        <f t="shared" si="122"/>
        <v>851.79167067577089</v>
      </c>
      <c r="I132" s="3">
        <f t="shared" si="131"/>
        <v>635.6069446582602</v>
      </c>
      <c r="J132" s="3">
        <f t="shared" si="123"/>
        <v>635.6069446582602</v>
      </c>
      <c r="K132" s="3">
        <f t="shared" si="130"/>
        <v>669.26488410239142</v>
      </c>
      <c r="L132" s="3">
        <f t="shared" si="124"/>
        <v>31726.002924323893</v>
      </c>
    </row>
    <row r="133" spans="1:19" x14ac:dyDescent="0.25">
      <c r="B133" s="1">
        <f t="shared" si="125"/>
        <v>10</v>
      </c>
      <c r="C133" s="3">
        <v>2500</v>
      </c>
      <c r="D133" s="3">
        <f t="shared" si="126"/>
        <v>34226.002924323897</v>
      </c>
      <c r="E133" s="6">
        <f t="shared" si="127"/>
        <v>28.044522719799303</v>
      </c>
      <c r="F133" s="6">
        <f t="shared" si="132"/>
        <v>25.217826713559617</v>
      </c>
      <c r="G133" s="5">
        <f t="shared" si="133"/>
        <v>1220.4166662519269</v>
      </c>
      <c r="H133" s="3">
        <f t="shared" si="122"/>
        <v>958.32808188106912</v>
      </c>
      <c r="I133" s="3">
        <f t="shared" si="131"/>
        <v>715.10441469965372</v>
      </c>
      <c r="J133" s="3">
        <f t="shared" si="123"/>
        <v>715.10441469965372</v>
      </c>
      <c r="K133" s="3">
        <f t="shared" si="130"/>
        <v>752.97206433512576</v>
      </c>
      <c r="L133" s="3">
        <f t="shared" si="124"/>
        <v>35694.079403358679</v>
      </c>
    </row>
    <row r="134" spans="1:19" x14ac:dyDescent="0.25">
      <c r="B134" s="1">
        <f t="shared" si="125"/>
        <v>11</v>
      </c>
      <c r="C134" s="3">
        <v>2500</v>
      </c>
      <c r="D134" s="3">
        <f t="shared" si="126"/>
        <v>38194.079403358679</v>
      </c>
      <c r="E134" s="6">
        <f t="shared" si="127"/>
        <v>28.66150221963489</v>
      </c>
      <c r="F134" s="6">
        <f t="shared" si="132"/>
        <v>25.507708718711495</v>
      </c>
      <c r="G134" s="5">
        <f t="shared" si="133"/>
        <v>1332.59168032</v>
      </c>
      <c r="H134" s="3">
        <f t="shared" si="122"/>
        <v>1069.434223294043</v>
      </c>
      <c r="I134" s="3">
        <f t="shared" si="131"/>
        <v>798.01181742201493</v>
      </c>
      <c r="J134" s="3">
        <f t="shared" si="123"/>
        <v>798.01181742201493</v>
      </c>
      <c r="K134" s="3">
        <f t="shared" si="130"/>
        <v>840.26974687389099</v>
      </c>
      <c r="L134" s="3">
        <f t="shared" si="124"/>
        <v>39832.360967654582</v>
      </c>
    </row>
    <row r="135" spans="1:19" x14ac:dyDescent="0.25">
      <c r="B135" s="1">
        <f t="shared" si="125"/>
        <v>12</v>
      </c>
      <c r="C135" s="3">
        <v>2500</v>
      </c>
      <c r="D135" s="3">
        <f t="shared" si="126"/>
        <v>42332.360967654582</v>
      </c>
      <c r="E135" s="6">
        <f t="shared" si="127"/>
        <v>29.292055268466857</v>
      </c>
      <c r="F135" s="6">
        <f t="shared" si="132"/>
        <v>25.802538001960063</v>
      </c>
      <c r="G135" s="5">
        <f t="shared" si="133"/>
        <v>1445.1823397051185</v>
      </c>
      <c r="H135" s="3">
        <f t="shared" si="122"/>
        <v>1185.3061070943284</v>
      </c>
      <c r="I135" s="3">
        <f t="shared" si="131"/>
        <v>884.47541711378778</v>
      </c>
      <c r="J135" s="3">
        <f t="shared" si="123"/>
        <v>884.47541711378778</v>
      </c>
      <c r="K135" s="3">
        <f t="shared" si="130"/>
        <v>931.31194128840093</v>
      </c>
      <c r="L135" s="3">
        <f t="shared" si="124"/>
        <v>44148.148326056777</v>
      </c>
    </row>
    <row r="136" spans="1:19" x14ac:dyDescent="0.25">
      <c r="B136" s="1">
        <f t="shared" si="125"/>
        <v>13</v>
      </c>
      <c r="C136" s="3">
        <v>2500</v>
      </c>
      <c r="D136" s="3">
        <f t="shared" si="126"/>
        <v>46648.148326056777</v>
      </c>
      <c r="E136" s="6">
        <f t="shared" si="127"/>
        <v>29.936480484373128</v>
      </c>
      <c r="F136" s="6">
        <f t="shared" si="132"/>
        <v>26.102469021937424</v>
      </c>
      <c r="G136" s="5">
        <f t="shared" si="133"/>
        <v>1558.2375607048111</v>
      </c>
      <c r="H136" s="3">
        <f t="shared" si="122"/>
        <v>1306.1481531295897</v>
      </c>
      <c r="I136" s="3">
        <f t="shared" si="131"/>
        <v>974.64775186529982</v>
      </c>
      <c r="J136" s="3">
        <f t="shared" si="123"/>
        <v>974.64775186529982</v>
      </c>
      <c r="K136" s="3">
        <f t="shared" si="130"/>
        <v>1026.2592631732491</v>
      </c>
      <c r="L136" s="3">
        <f t="shared" si="124"/>
        <v>48649.055341095322</v>
      </c>
    </row>
    <row r="137" spans="1:19" x14ac:dyDescent="0.25">
      <c r="B137" s="1">
        <f t="shared" si="125"/>
        <v>14</v>
      </c>
      <c r="C137" s="3">
        <v>2500</v>
      </c>
      <c r="D137" s="3">
        <f t="shared" si="126"/>
        <v>51149.055341095322</v>
      </c>
      <c r="E137" s="6">
        <f t="shared" si="127"/>
        <v>30.595083055029338</v>
      </c>
      <c r="F137" s="6">
        <f t="shared" si="132"/>
        <v>26.407660411025294</v>
      </c>
      <c r="G137" s="5">
        <f t="shared" si="133"/>
        <v>1671.8063895789046</v>
      </c>
      <c r="H137" s="3">
        <f t="shared" si="122"/>
        <v>1432.1735495506691</v>
      </c>
      <c r="I137" s="3">
        <f t="shared" si="131"/>
        <v>1068.6879026747092</v>
      </c>
      <c r="J137" s="3">
        <f t="shared" si="123"/>
        <v>1068.6879026747092</v>
      </c>
      <c r="K137" s="3">
        <f t="shared" si="130"/>
        <v>1125.2792175040972</v>
      </c>
      <c r="L137" s="3">
        <f t="shared" si="124"/>
        <v>53343.022461274129</v>
      </c>
    </row>
    <row r="138" spans="1:19" x14ac:dyDescent="0.25">
      <c r="B138" s="1">
        <f t="shared" si="125"/>
        <v>15</v>
      </c>
      <c r="C138" s="3">
        <v>2500</v>
      </c>
      <c r="D138" s="3">
        <f t="shared" si="126"/>
        <v>55843.022461274129</v>
      </c>
      <c r="E138" s="6">
        <f t="shared" si="127"/>
        <v>31.268174882239983</v>
      </c>
      <c r="F138" s="6">
        <f t="shared" si="132"/>
        <v>26.718275030895271</v>
      </c>
      <c r="G138" s="5">
        <f t="shared" si="133"/>
        <v>1785.9380239360378</v>
      </c>
      <c r="H138" s="3">
        <f t="shared" si="122"/>
        <v>1563.6046289156757</v>
      </c>
      <c r="I138" s="3">
        <f t="shared" si="131"/>
        <v>1166.7617740968772</v>
      </c>
      <c r="J138" s="3">
        <f t="shared" si="123"/>
        <v>1166.7617740968772</v>
      </c>
      <c r="K138" s="3">
        <f t="shared" si="130"/>
        <v>1228.5464941480309</v>
      </c>
      <c r="L138" s="3">
        <f t="shared" si="124"/>
        <v>58238.330729519039</v>
      </c>
    </row>
    <row r="139" spans="1:19" x14ac:dyDescent="0.25">
      <c r="B139" s="1">
        <f t="shared" si="125"/>
        <v>16</v>
      </c>
      <c r="C139" s="3">
        <v>2500</v>
      </c>
      <c r="D139" s="3">
        <f t="shared" si="126"/>
        <v>60738.330729519039</v>
      </c>
      <c r="E139" s="6">
        <f t="shared" si="127"/>
        <v>31.956074729649263</v>
      </c>
      <c r="F139" s="6">
        <f t="shared" si="132"/>
        <v>27.034480028383509</v>
      </c>
      <c r="G139" s="5">
        <f t="shared" si="133"/>
        <v>1900.6818341542184</v>
      </c>
      <c r="H139" s="3">
        <f t="shared" si="122"/>
        <v>1700.673260426533</v>
      </c>
      <c r="I139" s="3">
        <f t="shared" si="131"/>
        <v>1269.042386930279</v>
      </c>
      <c r="J139" s="3">
        <f t="shared" si="123"/>
        <v>1269.042386930279</v>
      </c>
      <c r="K139" s="3">
        <f t="shared" si="130"/>
        <v>1336.2432760494189</v>
      </c>
      <c r="L139" s="3">
        <f t="shared" si="124"/>
        <v>63343.616392498734</v>
      </c>
    </row>
    <row r="140" spans="1:19" x14ac:dyDescent="0.25">
      <c r="B140" s="1">
        <f t="shared" si="125"/>
        <v>17</v>
      </c>
      <c r="C140" s="3">
        <v>2500</v>
      </c>
      <c r="D140" s="3">
        <f t="shared" si="126"/>
        <v>65843.616392498734</v>
      </c>
      <c r="E140" s="6">
        <f t="shared" si="127"/>
        <v>32.65910837370155</v>
      </c>
      <c r="F140" s="6">
        <f t="shared" si="132"/>
        <v>27.356446891774816</v>
      </c>
      <c r="G140" s="5">
        <f t="shared" si="133"/>
        <v>2016.0873848447959</v>
      </c>
      <c r="H140" s="3">
        <f t="shared" si="122"/>
        <v>1843.6212589899646</v>
      </c>
      <c r="I140" s="3">
        <f t="shared" si="131"/>
        <v>1375.7101834583116</v>
      </c>
      <c r="J140" s="3">
        <f t="shared" si="123"/>
        <v>0</v>
      </c>
      <c r="K140" s="3">
        <f t="shared" si="130"/>
        <v>1448.5595606349723</v>
      </c>
      <c r="L140" s="3">
        <f t="shared" si="124"/>
        <v>68667.886136592017</v>
      </c>
    </row>
    <row r="141" spans="1:19" x14ac:dyDescent="0.25">
      <c r="A141" s="20" t="s">
        <v>47</v>
      </c>
      <c r="B141" s="8">
        <f t="shared" si="125"/>
        <v>18</v>
      </c>
      <c r="C141" s="11">
        <v>2500</v>
      </c>
      <c r="D141" s="11">
        <f t="shared" si="126"/>
        <v>51602.296064583817</v>
      </c>
      <c r="E141" s="12">
        <f t="shared" si="127"/>
        <v>33.377608757922985</v>
      </c>
      <c r="F141" s="12">
        <f t="shared" si="132"/>
        <v>27.572128728023607</v>
      </c>
      <c r="G141" s="13">
        <f t="shared" si="133"/>
        <v>2090.9878972850875</v>
      </c>
      <c r="H141" s="11">
        <f t="shared" si="122"/>
        <v>1444.8642898083469</v>
      </c>
      <c r="I141" s="11">
        <f t="shared" si="131"/>
        <v>1078.1577330549885</v>
      </c>
      <c r="J141" s="11">
        <f t="shared" si="123"/>
        <v>0</v>
      </c>
      <c r="K141" s="11">
        <f t="shared" si="130"/>
        <v>1135.2505134208441</v>
      </c>
      <c r="L141" s="11">
        <f t="shared" si="124"/>
        <v>53815.704311059657</v>
      </c>
      <c r="M141" s="17">
        <v>19565.590072008192</v>
      </c>
      <c r="N141" s="11">
        <f>MIN(M141,I140)</f>
        <v>1375.7101834583116</v>
      </c>
      <c r="O141" s="11">
        <f>M141-N141</f>
        <v>18189.87988854988</v>
      </c>
      <c r="P141" s="13">
        <f>O141/E141</f>
        <v>544.97252995189695</v>
      </c>
      <c r="Q141" s="11">
        <f>(E141-F141)*P141</f>
        <v>3163.8271394794783</v>
      </c>
      <c r="R141" s="11">
        <f>Q141*$J$4</f>
        <v>686.55048926704683</v>
      </c>
      <c r="S141" s="11">
        <f>M141-R141</f>
        <v>18879.039582741145</v>
      </c>
    </row>
    <row r="142" spans="1:19" x14ac:dyDescent="0.25">
      <c r="A142" s="20" t="s">
        <v>47</v>
      </c>
      <c r="B142" s="8">
        <f t="shared" si="125"/>
        <v>19</v>
      </c>
      <c r="C142" s="11">
        <v>2500</v>
      </c>
      <c r="D142" s="11">
        <f t="shared" si="126"/>
        <v>36750.114239051458</v>
      </c>
      <c r="E142" s="12">
        <f t="shared" si="127"/>
        <v>34.111916150597288</v>
      </c>
      <c r="F142" s="12">
        <f t="shared" si="132"/>
        <v>27.793583410412964</v>
      </c>
      <c r="G142" s="13">
        <f t="shared" si="133"/>
        <v>2164.2760699272517</v>
      </c>
      <c r="H142" s="11">
        <f t="shared" si="122"/>
        <v>1029.0031986934409</v>
      </c>
      <c r="I142" s="11">
        <f t="shared" si="131"/>
        <v>767.84218686504562</v>
      </c>
      <c r="J142" s="11">
        <f t="shared" si="123"/>
        <v>0</v>
      </c>
      <c r="K142" s="11">
        <f t="shared" si="130"/>
        <v>808.50251325913212</v>
      </c>
      <c r="L142" s="11">
        <f t="shared" si="124"/>
        <v>38326.458939175638</v>
      </c>
      <c r="M142" s="11">
        <f>M141</f>
        <v>19565.590072008192</v>
      </c>
      <c r="N142" s="11">
        <f t="shared" ref="N142:N144" si="134">MIN(M142,I141)</f>
        <v>1078.1577330549885</v>
      </c>
      <c r="O142" s="11">
        <f t="shared" ref="O142:O144" si="135">M142-N142</f>
        <v>18487.432338953204</v>
      </c>
      <c r="P142" s="13">
        <f>O142/E142</f>
        <v>541.96405318701204</v>
      </c>
      <c r="Q142" s="11">
        <f>(E142-F142)*P142</f>
        <v>3424.3092212544966</v>
      </c>
      <c r="R142" s="11">
        <f>Q142*$J$4</f>
        <v>743.07510101222579</v>
      </c>
      <c r="S142" s="11">
        <f t="shared" ref="S142:S144" si="136">M142-R142</f>
        <v>18822.514970995966</v>
      </c>
    </row>
    <row r="143" spans="1:19" x14ac:dyDescent="0.25">
      <c r="A143" s="20" t="s">
        <v>47</v>
      </c>
      <c r="B143" s="8">
        <f t="shared" si="125"/>
        <v>20</v>
      </c>
      <c r="C143" s="8"/>
      <c r="D143" s="11">
        <f t="shared" si="126"/>
        <v>18760.868867167443</v>
      </c>
      <c r="E143" s="12">
        <f t="shared" si="127"/>
        <v>34.862378305910433</v>
      </c>
      <c r="F143" s="12">
        <f t="shared" si="132"/>
        <v>27.793583410412964</v>
      </c>
      <c r="G143" s="13">
        <f t="shared" si="133"/>
        <v>2164.2760699272517</v>
      </c>
      <c r="H143" s="11">
        <f t="shared" si="122"/>
        <v>525.30432828068842</v>
      </c>
      <c r="I143" s="11">
        <f t="shared" si="131"/>
        <v>391.98208976304971</v>
      </c>
      <c r="J143" s="11">
        <f t="shared" si="123"/>
        <v>0</v>
      </c>
      <c r="K143" s="11">
        <f t="shared" si="130"/>
        <v>412.73911507768378</v>
      </c>
      <c r="L143" s="11">
        <f t="shared" si="124"/>
        <v>19565.590072008174</v>
      </c>
      <c r="M143" s="11">
        <f>M142</f>
        <v>19565.590072008192</v>
      </c>
      <c r="N143" s="11">
        <f t="shared" si="134"/>
        <v>767.84218686504562</v>
      </c>
      <c r="O143" s="11">
        <f t="shared" si="135"/>
        <v>18797.747885143148</v>
      </c>
      <c r="P143" s="13">
        <f>O143/E143</f>
        <v>539.19866625841337</v>
      </c>
      <c r="Q143" s="11">
        <f>(E143-F143)*P143</f>
        <v>3811.4847797065154</v>
      </c>
      <c r="R143" s="11">
        <f>Q143*$J$4</f>
        <v>827.0921971963138</v>
      </c>
      <c r="S143" s="11">
        <f t="shared" si="136"/>
        <v>18738.497874811877</v>
      </c>
    </row>
    <row r="144" spans="1:19" x14ac:dyDescent="0.25">
      <c r="A144" s="20" t="s">
        <v>47</v>
      </c>
      <c r="B144" s="8">
        <f t="shared" si="125"/>
        <v>21</v>
      </c>
      <c r="C144" s="8"/>
      <c r="D144" s="11">
        <f t="shared" si="126"/>
        <v>-1.8189894035458565E-11</v>
      </c>
      <c r="E144" s="12">
        <f t="shared" si="127"/>
        <v>35.629350628640459</v>
      </c>
      <c r="F144" s="12">
        <f t="shared" si="132"/>
        <v>27.793583410412964</v>
      </c>
      <c r="G144" s="13">
        <f t="shared" si="133"/>
        <v>2164.2760699272517</v>
      </c>
      <c r="H144" s="11">
        <f t="shared" si="122"/>
        <v>-5.0931703299283986E-13</v>
      </c>
      <c r="I144" s="11">
        <f t="shared" si="131"/>
        <v>-3.8005237001925709E-13</v>
      </c>
      <c r="J144" s="11">
        <f t="shared" si="123"/>
        <v>-3.8005237001925709E-13</v>
      </c>
      <c r="K144" s="11">
        <f t="shared" si="130"/>
        <v>-4.0017766878008848E-13</v>
      </c>
      <c r="L144" s="11">
        <f t="shared" si="124"/>
        <v>-1.8970124074257911E-11</v>
      </c>
      <c r="M144" s="11">
        <f>M143</f>
        <v>19565.590072008192</v>
      </c>
      <c r="N144" s="11">
        <f t="shared" si="134"/>
        <v>391.98208976304971</v>
      </c>
      <c r="O144" s="11">
        <f t="shared" si="135"/>
        <v>19173.607982245143</v>
      </c>
      <c r="P144" s="13">
        <f>O144/E144</f>
        <v>538.14082052992967</v>
      </c>
      <c r="Q144" s="11">
        <f>(E144-F144)*P144</f>
        <v>4216.7462002984685</v>
      </c>
      <c r="R144" s="11">
        <f>Q144*$J$4</f>
        <v>915.03392546476766</v>
      </c>
      <c r="S144" s="11">
        <f t="shared" si="136"/>
        <v>18650.556146543426</v>
      </c>
    </row>
    <row r="145" spans="1:48" x14ac:dyDescent="0.25">
      <c r="A145" s="1" t="s">
        <v>56</v>
      </c>
      <c r="B145" s="3"/>
      <c r="C145" s="3">
        <f>SUM(C123:C144)</f>
        <v>50000</v>
      </c>
      <c r="D145" s="3"/>
      <c r="E145" s="3"/>
      <c r="F145" s="3"/>
      <c r="G145" s="3"/>
      <c r="H145" s="3">
        <f>SUM(H123:H144)</f>
        <v>18449.048064627757</v>
      </c>
      <c r="I145" s="3">
        <f>SUM(I123:I144)</f>
        <v>13766.679665825231</v>
      </c>
      <c r="J145" s="3"/>
      <c r="K145" s="3">
        <f>SUM(K123:K144)</f>
        <v>14495.680622207527</v>
      </c>
      <c r="L145" s="3"/>
      <c r="M145" s="3"/>
      <c r="N145" s="3"/>
      <c r="O145" s="3"/>
      <c r="P145" s="5"/>
      <c r="Q145" s="3"/>
      <c r="R145" s="3">
        <f>SUM(R123:R144)</f>
        <v>3171.7517129403541</v>
      </c>
      <c r="S145" s="3">
        <f>SUM(S123:S144)</f>
        <v>75090.60857509241</v>
      </c>
      <c r="U145" s="1" t="s">
        <v>56</v>
      </c>
      <c r="W145" s="3">
        <f>SUM(W123:W144)</f>
        <v>0</v>
      </c>
      <c r="X145" s="3">
        <f>SUM(X123:X144)</f>
        <v>0</v>
      </c>
      <c r="Y145" s="3"/>
      <c r="Z145" s="3"/>
      <c r="AA145" s="3"/>
      <c r="AB145" s="6"/>
      <c r="AC145" s="6"/>
      <c r="AD145" s="5"/>
      <c r="AE145" s="3">
        <f>SUM(AE123:AE144)</f>
        <v>0</v>
      </c>
      <c r="AF145" s="3"/>
      <c r="AG145" s="3"/>
      <c r="AH145" s="3">
        <f>SUM(AH123:AH144)</f>
        <v>0</v>
      </c>
      <c r="AI145" s="3"/>
      <c r="AJ145" s="3"/>
      <c r="AS145" s="3">
        <f>SUM(AS123:AS144)</f>
        <v>0</v>
      </c>
      <c r="AT145" s="3">
        <f>SUM(AT123:AT144)</f>
        <v>0</v>
      </c>
      <c r="AV145" s="3"/>
    </row>
    <row r="146" spans="1:48" x14ac:dyDescent="0.25">
      <c r="A146" s="1" t="s">
        <v>62</v>
      </c>
      <c r="C146" s="3">
        <f>SUM(C123:C140)</f>
        <v>45000</v>
      </c>
      <c r="D146" s="3"/>
      <c r="G146" s="5"/>
      <c r="H146" s="3">
        <f>SUM(H123:H140)</f>
        <v>15449.876247845281</v>
      </c>
      <c r="I146" s="3">
        <f>SUM(I123:I140)</f>
        <v>11528.697656142149</v>
      </c>
      <c r="K146" s="3">
        <f>SUM(K123:K140)</f>
        <v>12139.188480449866</v>
      </c>
      <c r="R146" s="3">
        <f>SUM(R123:R140)</f>
        <v>0</v>
      </c>
      <c r="S146" s="3">
        <f>SUM(S123:S140)</f>
        <v>0</v>
      </c>
      <c r="U146" s="1" t="s">
        <v>62</v>
      </c>
      <c r="W146" s="3">
        <f>SUM(W123:W140)</f>
        <v>0</v>
      </c>
      <c r="X146" s="3">
        <f>SUM(X123:X140)</f>
        <v>0</v>
      </c>
      <c r="Y146" s="3"/>
      <c r="Z146" s="3"/>
      <c r="AA146" s="3"/>
      <c r="AB146" s="6"/>
      <c r="AC146" s="6"/>
      <c r="AD146" s="5"/>
      <c r="AE146" s="3">
        <f>SUM(AE123:AE140)</f>
        <v>0</v>
      </c>
      <c r="AF146" s="3"/>
      <c r="AG146" s="3"/>
      <c r="AH146" s="3">
        <f>SUM(AH123:AH140)</f>
        <v>0</v>
      </c>
      <c r="AI146" s="3"/>
      <c r="AJ146" s="3"/>
      <c r="AS146" s="3">
        <f>SUM(AS123:AS140)</f>
        <v>0</v>
      </c>
      <c r="AT146" s="3">
        <f>SUM(AT123:AT140)</f>
        <v>0</v>
      </c>
      <c r="AV146" s="3"/>
    </row>
    <row r="147" spans="1:48" x14ac:dyDescent="0.25">
      <c r="A147" s="1" t="s">
        <v>47</v>
      </c>
      <c r="C147" s="3">
        <f>SUM(C141:C144)</f>
        <v>5000</v>
      </c>
      <c r="D147" s="3"/>
      <c r="G147" s="5"/>
      <c r="H147" s="3">
        <f>SUM(H141:H144)</f>
        <v>2999.1718167824761</v>
      </c>
      <c r="I147" s="3">
        <f>SUM(I141:I144)</f>
        <v>2237.9820096830836</v>
      </c>
      <c r="K147" s="3">
        <f>SUM(K141:K144)</f>
        <v>2356.4921417576597</v>
      </c>
      <c r="R147" s="3">
        <f>SUM(R141:R144)</f>
        <v>3171.7517129403541</v>
      </c>
      <c r="S147" s="3">
        <f>SUM(S141:S144)</f>
        <v>75090.60857509241</v>
      </c>
      <c r="U147" s="1" t="s">
        <v>47</v>
      </c>
      <c r="W147" s="3">
        <f>SUM(W141:W144)</f>
        <v>0</v>
      </c>
      <c r="X147" s="3">
        <f>SUM(X141:X144)</f>
        <v>0</v>
      </c>
      <c r="AD147" s="5"/>
      <c r="AE147" s="3">
        <f>SUM(AE141:AE144)</f>
        <v>0</v>
      </c>
      <c r="AH147" s="3">
        <f>SUM(AH141:AH144)</f>
        <v>0</v>
      </c>
      <c r="AS147" s="3">
        <f>SUM(AS141:AS144)</f>
        <v>0</v>
      </c>
      <c r="AT147" s="3">
        <f>SUM(AT141:AT144)</f>
        <v>0</v>
      </c>
      <c r="AV147" s="3">
        <f>AT147+S147</f>
        <v>75090.60857509241</v>
      </c>
    </row>
    <row r="148" spans="1:48" x14ac:dyDescent="0.25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5"/>
      <c r="Q148" s="3"/>
      <c r="R148" s="3"/>
      <c r="S148" s="3"/>
      <c r="AV148" s="3"/>
    </row>
    <row r="149" spans="1:48" x14ac:dyDescent="0.25">
      <c r="D149" s="3"/>
      <c r="G149" s="5"/>
    </row>
    <row r="150" spans="1:48" s="7" customFormat="1" ht="45" x14ac:dyDescent="0.25">
      <c r="A150" s="19" t="s">
        <v>38</v>
      </c>
      <c r="G150" s="16"/>
      <c r="W150" s="10" t="s">
        <v>23</v>
      </c>
      <c r="X150" s="10" t="s">
        <v>24</v>
      </c>
      <c r="Y150" s="10" t="s">
        <v>22</v>
      </c>
      <c r="Z150" s="10" t="s">
        <v>25</v>
      </c>
      <c r="AA150" s="10" t="s">
        <v>26</v>
      </c>
      <c r="AB150" s="10" t="s">
        <v>29</v>
      </c>
      <c r="AC150" s="10" t="s">
        <v>9</v>
      </c>
      <c r="AD150" s="10" t="s">
        <v>11</v>
      </c>
      <c r="AE150" s="10" t="s">
        <v>4</v>
      </c>
      <c r="AF150" s="10" t="s">
        <v>6</v>
      </c>
      <c r="AG150" s="10" t="s">
        <v>32</v>
      </c>
      <c r="AH150" s="10" t="s">
        <v>5</v>
      </c>
      <c r="AI150" s="10" t="s">
        <v>46</v>
      </c>
      <c r="AJ150" s="10" t="s">
        <v>19</v>
      </c>
      <c r="AK150" s="10" t="s">
        <v>27</v>
      </c>
      <c r="AL150" s="10" t="s">
        <v>28</v>
      </c>
      <c r="AM150" s="10" t="s">
        <v>30</v>
      </c>
      <c r="AN150" s="10" t="s">
        <v>31</v>
      </c>
      <c r="AO150" s="10" t="s">
        <v>21</v>
      </c>
      <c r="AP150" s="10" t="s">
        <v>18</v>
      </c>
      <c r="AQ150" s="10" t="s">
        <v>17</v>
      </c>
      <c r="AR150" s="10" t="s">
        <v>14</v>
      </c>
      <c r="AS150" s="10" t="s">
        <v>54</v>
      </c>
      <c r="AT150" s="10" t="s">
        <v>20</v>
      </c>
    </row>
    <row r="151" spans="1:48" x14ac:dyDescent="0.25">
      <c r="P151" s="5"/>
      <c r="V151" s="1">
        <v>0</v>
      </c>
      <c r="W151" s="3">
        <v>2500</v>
      </c>
      <c r="X151" s="3">
        <f>MIN(W151*20%,500)</f>
        <v>500</v>
      </c>
      <c r="Y151" s="3">
        <f>W151+X151</f>
        <v>3000</v>
      </c>
      <c r="Z151" s="3">
        <f>W151</f>
        <v>2500</v>
      </c>
      <c r="AA151" s="3">
        <f>Y151-Z151</f>
        <v>500</v>
      </c>
      <c r="AB151" s="6">
        <v>22.56</v>
      </c>
      <c r="AC151" s="6"/>
      <c r="AD151" s="5">
        <f>Y151/AB151</f>
        <v>132.97872340425533</v>
      </c>
      <c r="AE151" s="3">
        <f>Y151*$E$2</f>
        <v>84</v>
      </c>
      <c r="AF151" s="3"/>
      <c r="AG151" s="3">
        <f>AE151-AM152</f>
        <v>84</v>
      </c>
      <c r="AH151" s="3">
        <f t="shared" ref="AH151:AH172" si="137">Y151*$E$3</f>
        <v>66</v>
      </c>
      <c r="AI151" s="3">
        <f>Y151+AE151+AH151</f>
        <v>3150</v>
      </c>
    </row>
    <row r="152" spans="1:48" x14ac:dyDescent="0.25">
      <c r="V152" s="1">
        <f>V151+1</f>
        <v>1</v>
      </c>
      <c r="W152" s="3">
        <v>2500</v>
      </c>
      <c r="X152" s="3">
        <f t="shared" ref="X152:X164" si="138">MIN(W152*20%,500)</f>
        <v>500</v>
      </c>
      <c r="Y152" s="3">
        <f>AB152*AD152</f>
        <v>6150</v>
      </c>
      <c r="Z152" s="3">
        <f>W152+Z151-AK152</f>
        <v>5000</v>
      </c>
      <c r="AA152" s="3">
        <f>Y152-Z152</f>
        <v>1150</v>
      </c>
      <c r="AB152" s="6">
        <f>AB151*(1+$E$3)</f>
        <v>23.056319999999999</v>
      </c>
      <c r="AC152" s="6"/>
      <c r="AD152" s="5">
        <f>AD151+AG151/AB152+W152/AB152+X152/AB152-AK152/AB152-AN152/AB152</f>
        <v>266.73814381479787</v>
      </c>
      <c r="AE152" s="3">
        <f>Y152*$E$2</f>
        <v>172.20000000000002</v>
      </c>
      <c r="AF152" s="3"/>
      <c r="AG152" s="3">
        <f t="shared" ref="AG152:AG159" si="139">AE152-AM153</f>
        <v>172.20000000000002</v>
      </c>
      <c r="AH152" s="3">
        <f t="shared" si="137"/>
        <v>135.30000000000001</v>
      </c>
      <c r="AI152" s="3">
        <f t="shared" ref="AI152:AI172" si="140">Y152+AE152+AH152</f>
        <v>6457.5</v>
      </c>
    </row>
    <row r="153" spans="1:48" x14ac:dyDescent="0.25">
      <c r="V153" s="1">
        <f t="shared" ref="V153:V172" si="141">V152+1</f>
        <v>2</v>
      </c>
      <c r="W153" s="3">
        <v>2500</v>
      </c>
      <c r="X153" s="3">
        <f t="shared" si="138"/>
        <v>500</v>
      </c>
      <c r="Y153" s="3">
        <f t="shared" ref="Y153:Y172" si="142">AB153*AD153</f>
        <v>9457.5</v>
      </c>
      <c r="Z153" s="3">
        <f t="shared" ref="Z153:Z169" si="143">W153+Z152-AK153</f>
        <v>7500</v>
      </c>
      <c r="AA153" s="3">
        <f t="shared" ref="AA153:AA168" si="144">Y153-Z153</f>
        <v>1957.5</v>
      </c>
      <c r="AB153" s="6">
        <f t="shared" ref="AB153:AB167" si="145">AB152*(1+$E$3)</f>
        <v>23.563559040000001</v>
      </c>
      <c r="AC153" s="6"/>
      <c r="AD153" s="5">
        <f t="shared" ref="AD153:AD172" si="146">AD152+AG152/AB153+W153/AB153+X153/AB153-AK153/AB153-AN153/AB153</f>
        <v>401.36127076328108</v>
      </c>
      <c r="AE153" s="3">
        <f t="shared" ref="AE153:AE172" si="147">Y153*$E$2</f>
        <v>264.81</v>
      </c>
      <c r="AF153" s="3"/>
      <c r="AG153" s="3">
        <f t="shared" si="139"/>
        <v>264.81</v>
      </c>
      <c r="AH153" s="3">
        <f t="shared" si="137"/>
        <v>208.06500000000003</v>
      </c>
      <c r="AI153" s="3">
        <f t="shared" si="140"/>
        <v>9930.375</v>
      </c>
    </row>
    <row r="154" spans="1:48" x14ac:dyDescent="0.25">
      <c r="V154" s="1">
        <f t="shared" si="141"/>
        <v>3</v>
      </c>
      <c r="W154" s="3">
        <v>2500</v>
      </c>
      <c r="X154" s="3">
        <f t="shared" si="138"/>
        <v>500</v>
      </c>
      <c r="Y154" s="3">
        <f t="shared" si="142"/>
        <v>12930.375000000002</v>
      </c>
      <c r="Z154" s="3">
        <f t="shared" si="143"/>
        <v>10000</v>
      </c>
      <c r="AA154" s="3">
        <f t="shared" si="144"/>
        <v>2930.3750000000018</v>
      </c>
      <c r="AB154" s="6">
        <f t="shared" si="145"/>
        <v>24.081957338880002</v>
      </c>
      <c r="AC154" s="6"/>
      <c r="AD154" s="5">
        <f t="shared" si="146"/>
        <v>536.93206154485131</v>
      </c>
      <c r="AE154" s="3">
        <f t="shared" si="147"/>
        <v>362.05050000000006</v>
      </c>
      <c r="AF154" s="3"/>
      <c r="AG154" s="3">
        <f t="shared" si="139"/>
        <v>362.05050000000006</v>
      </c>
      <c r="AH154" s="3">
        <f t="shared" si="137"/>
        <v>284.46825000000007</v>
      </c>
      <c r="AI154" s="3">
        <f t="shared" si="140"/>
        <v>13576.893750000001</v>
      </c>
    </row>
    <row r="155" spans="1:48" x14ac:dyDescent="0.25">
      <c r="V155" s="1">
        <f t="shared" si="141"/>
        <v>4</v>
      </c>
      <c r="W155" s="3">
        <v>2500</v>
      </c>
      <c r="X155" s="3">
        <f t="shared" si="138"/>
        <v>500</v>
      </c>
      <c r="Y155" s="3">
        <f t="shared" si="142"/>
        <v>16576.893749999999</v>
      </c>
      <c r="Z155" s="3">
        <f t="shared" si="143"/>
        <v>12500</v>
      </c>
      <c r="AA155" s="3">
        <f t="shared" si="144"/>
        <v>4076.8937499999993</v>
      </c>
      <c r="AB155" s="6">
        <f t="shared" si="145"/>
        <v>24.611760400335363</v>
      </c>
      <c r="AC155" s="6"/>
      <c r="AD155" s="5">
        <f t="shared" si="146"/>
        <v>673.53547573842468</v>
      </c>
      <c r="AE155" s="3">
        <f t="shared" si="147"/>
        <v>464.15302500000001</v>
      </c>
      <c r="AF155" s="3"/>
      <c r="AG155" s="3">
        <f t="shared" si="139"/>
        <v>464.15302500000001</v>
      </c>
      <c r="AH155" s="3">
        <f t="shared" si="137"/>
        <v>364.69166250000001</v>
      </c>
      <c r="AI155" s="3">
        <f t="shared" si="140"/>
        <v>17405.7384375</v>
      </c>
    </row>
    <row r="156" spans="1:48" x14ac:dyDescent="0.25">
      <c r="G156" s="6"/>
      <c r="V156" s="1">
        <f t="shared" si="141"/>
        <v>5</v>
      </c>
      <c r="W156" s="3">
        <v>2500</v>
      </c>
      <c r="X156" s="3">
        <f t="shared" si="138"/>
        <v>500</v>
      </c>
      <c r="Y156" s="3">
        <f t="shared" si="142"/>
        <v>20405.7384375</v>
      </c>
      <c r="Z156" s="3">
        <f t="shared" si="143"/>
        <v>15000</v>
      </c>
      <c r="AA156" s="3">
        <f t="shared" si="144"/>
        <v>5405.7384375000001</v>
      </c>
      <c r="AB156" s="6">
        <f t="shared" si="145"/>
        <v>25.153219129142741</v>
      </c>
      <c r="AC156" s="6"/>
      <c r="AD156" s="5">
        <f t="shared" si="146"/>
        <v>811.25753060600232</v>
      </c>
      <c r="AE156" s="3">
        <f t="shared" si="147"/>
        <v>571.36067624999998</v>
      </c>
      <c r="AF156" s="3"/>
      <c r="AG156" s="3">
        <f t="shared" si="139"/>
        <v>571.36067624999998</v>
      </c>
      <c r="AH156" s="3">
        <f t="shared" si="137"/>
        <v>448.92624562500004</v>
      </c>
      <c r="AI156" s="3">
        <f t="shared" si="140"/>
        <v>21426.025359374999</v>
      </c>
    </row>
    <row r="157" spans="1:48" x14ac:dyDescent="0.25">
      <c r="V157" s="1">
        <f t="shared" si="141"/>
        <v>6</v>
      </c>
      <c r="W157" s="3">
        <v>2500</v>
      </c>
      <c r="X157" s="3">
        <f t="shared" si="138"/>
        <v>500</v>
      </c>
      <c r="Y157" s="3">
        <f t="shared" si="142"/>
        <v>24426.025359375002</v>
      </c>
      <c r="Z157" s="3">
        <f t="shared" si="143"/>
        <v>17500</v>
      </c>
      <c r="AA157" s="3">
        <f t="shared" si="144"/>
        <v>6926.0253593750022</v>
      </c>
      <c r="AB157" s="6">
        <f t="shared" si="145"/>
        <v>25.706589949983883</v>
      </c>
      <c r="AC157" s="6"/>
      <c r="AD157" s="5">
        <f t="shared" si="146"/>
        <v>950.18535740833715</v>
      </c>
      <c r="AE157" s="3">
        <f t="shared" si="147"/>
        <v>683.92871006250004</v>
      </c>
      <c r="AF157" s="3"/>
      <c r="AG157" s="3">
        <f t="shared" si="139"/>
        <v>683.92871006250004</v>
      </c>
      <c r="AH157" s="3">
        <f t="shared" si="137"/>
        <v>537.37255790625011</v>
      </c>
      <c r="AI157" s="3">
        <f t="shared" si="140"/>
        <v>25647.326627343751</v>
      </c>
    </row>
    <row r="158" spans="1:48" x14ac:dyDescent="0.25">
      <c r="V158" s="1">
        <f t="shared" si="141"/>
        <v>7</v>
      </c>
      <c r="W158" s="3">
        <v>2500</v>
      </c>
      <c r="X158" s="3">
        <f t="shared" si="138"/>
        <v>500</v>
      </c>
      <c r="Y158" s="3">
        <f t="shared" si="142"/>
        <v>28647.326627343751</v>
      </c>
      <c r="Z158" s="3">
        <f t="shared" si="143"/>
        <v>20000</v>
      </c>
      <c r="AA158" s="3">
        <f t="shared" si="144"/>
        <v>8647.3266273437512</v>
      </c>
      <c r="AB158" s="6">
        <f t="shared" si="145"/>
        <v>26.272134928883528</v>
      </c>
      <c r="AC158" s="6"/>
      <c r="AD158" s="5">
        <f t="shared" si="146"/>
        <v>1090.4072586750056</v>
      </c>
      <c r="AE158" s="3">
        <f t="shared" si="147"/>
        <v>802.12514556562508</v>
      </c>
      <c r="AF158" s="3"/>
      <c r="AG158" s="3">
        <f t="shared" si="139"/>
        <v>802.12514556562508</v>
      </c>
      <c r="AH158" s="3">
        <f t="shared" si="137"/>
        <v>630.24118580156255</v>
      </c>
      <c r="AI158" s="3">
        <f t="shared" si="140"/>
        <v>30079.692958710937</v>
      </c>
    </row>
    <row r="159" spans="1:48" x14ac:dyDescent="0.25">
      <c r="V159" s="1">
        <f t="shared" si="141"/>
        <v>8</v>
      </c>
      <c r="W159" s="3">
        <v>2500</v>
      </c>
      <c r="X159" s="3">
        <f t="shared" si="138"/>
        <v>500</v>
      </c>
      <c r="Y159" s="3">
        <f t="shared" si="142"/>
        <v>33079.692958710941</v>
      </c>
      <c r="Z159" s="3">
        <f t="shared" si="143"/>
        <v>22500</v>
      </c>
      <c r="AA159" s="3">
        <f t="shared" si="144"/>
        <v>10579.692958710941</v>
      </c>
      <c r="AB159" s="6">
        <f t="shared" si="145"/>
        <v>26.850121897318967</v>
      </c>
      <c r="AC159" s="6"/>
      <c r="AD159" s="5">
        <f t="shared" si="146"/>
        <v>1232.0127664677011</v>
      </c>
      <c r="AE159" s="3">
        <f t="shared" si="147"/>
        <v>926.23140284390638</v>
      </c>
      <c r="AF159" s="3"/>
      <c r="AG159" s="3">
        <f t="shared" si="139"/>
        <v>926.23140284390638</v>
      </c>
      <c r="AH159" s="3">
        <f t="shared" si="137"/>
        <v>727.75324509164079</v>
      </c>
      <c r="AI159" s="3">
        <f t="shared" si="140"/>
        <v>34733.677606646488</v>
      </c>
    </row>
    <row r="160" spans="1:48" x14ac:dyDescent="0.25">
      <c r="V160" s="1">
        <f t="shared" si="141"/>
        <v>9</v>
      </c>
      <c r="W160" s="3">
        <v>2500</v>
      </c>
      <c r="X160" s="3">
        <f t="shared" si="138"/>
        <v>500</v>
      </c>
      <c r="Y160" s="3">
        <f t="shared" si="142"/>
        <v>37733.677606646488</v>
      </c>
      <c r="Z160" s="3">
        <f t="shared" si="143"/>
        <v>25000</v>
      </c>
      <c r="AA160" s="3">
        <f t="shared" si="144"/>
        <v>12733.677606646488</v>
      </c>
      <c r="AB160" s="6">
        <f t="shared" si="145"/>
        <v>27.440824579059985</v>
      </c>
      <c r="AC160" s="6"/>
      <c r="AD160" s="5">
        <f t="shared" si="146"/>
        <v>1375.0927016763537</v>
      </c>
      <c r="AE160" s="3">
        <f t="shared" si="147"/>
        <v>1056.5429729861016</v>
      </c>
      <c r="AF160" s="3"/>
      <c r="AG160" s="3">
        <f>AE160-AM161</f>
        <v>1056.5429729861016</v>
      </c>
      <c r="AH160" s="3">
        <f t="shared" si="137"/>
        <v>830.14090734622278</v>
      </c>
      <c r="AI160" s="3">
        <f t="shared" si="140"/>
        <v>39620.361486978807</v>
      </c>
    </row>
    <row r="161" spans="1:48" x14ac:dyDescent="0.25">
      <c r="V161" s="1">
        <f t="shared" si="141"/>
        <v>10</v>
      </c>
      <c r="W161" s="3">
        <v>2500</v>
      </c>
      <c r="X161" s="3">
        <f t="shared" si="138"/>
        <v>500</v>
      </c>
      <c r="Y161" s="3">
        <f t="shared" si="142"/>
        <v>42620.361486978814</v>
      </c>
      <c r="Z161" s="3">
        <f t="shared" si="143"/>
        <v>27500</v>
      </c>
      <c r="AA161" s="3">
        <f t="shared" si="144"/>
        <v>15120.361486978814</v>
      </c>
      <c r="AB161" s="6">
        <f t="shared" si="145"/>
        <v>28.044522719799303</v>
      </c>
      <c r="AC161" s="6"/>
      <c r="AD161" s="5">
        <f t="shared" si="146"/>
        <v>1519.7392343885044</v>
      </c>
      <c r="AE161" s="3">
        <f t="shared" si="147"/>
        <v>1193.3701216354068</v>
      </c>
      <c r="AF161" s="3"/>
      <c r="AG161" s="3">
        <f t="shared" ref="AG161:AG167" si="148">AE161-AM162</f>
        <v>1193.3701216354068</v>
      </c>
      <c r="AH161" s="3">
        <f t="shared" si="137"/>
        <v>937.64795271353398</v>
      </c>
      <c r="AI161" s="3">
        <f t="shared" si="140"/>
        <v>44751.379561327754</v>
      </c>
    </row>
    <row r="162" spans="1:48" x14ac:dyDescent="0.25">
      <c r="V162" s="1">
        <f t="shared" si="141"/>
        <v>11</v>
      </c>
      <c r="W162" s="3">
        <v>2500</v>
      </c>
      <c r="X162" s="3">
        <f t="shared" si="138"/>
        <v>500</v>
      </c>
      <c r="Y162" s="3">
        <f t="shared" si="142"/>
        <v>47751.379561327754</v>
      </c>
      <c r="Z162" s="3">
        <f t="shared" si="143"/>
        <v>30000</v>
      </c>
      <c r="AA162" s="3">
        <f t="shared" si="144"/>
        <v>17751.379561327754</v>
      </c>
      <c r="AB162" s="6">
        <f t="shared" si="145"/>
        <v>28.66150221963489</v>
      </c>
      <c r="AC162" s="6"/>
      <c r="AD162" s="5">
        <f t="shared" si="146"/>
        <v>1666.0459453732026</v>
      </c>
      <c r="AE162" s="3">
        <f t="shared" si="147"/>
        <v>1337.0386277171772</v>
      </c>
      <c r="AF162" s="3"/>
      <c r="AG162" s="3">
        <f t="shared" si="148"/>
        <v>1337.0386277171772</v>
      </c>
      <c r="AH162" s="3">
        <f t="shared" si="137"/>
        <v>1050.5303503492107</v>
      </c>
      <c r="AI162" s="3">
        <f t="shared" si="140"/>
        <v>50138.948539394143</v>
      </c>
    </row>
    <row r="163" spans="1:48" x14ac:dyDescent="0.25">
      <c r="V163" s="1">
        <f t="shared" si="141"/>
        <v>12</v>
      </c>
      <c r="W163" s="3">
        <v>2500</v>
      </c>
      <c r="X163" s="3">
        <f t="shared" si="138"/>
        <v>500</v>
      </c>
      <c r="Y163" s="3">
        <f t="shared" si="142"/>
        <v>53138.94853939415</v>
      </c>
      <c r="Z163" s="3">
        <f t="shared" si="143"/>
        <v>32500</v>
      </c>
      <c r="AA163" s="3">
        <f t="shared" si="144"/>
        <v>20638.94853939415</v>
      </c>
      <c r="AB163" s="6">
        <f t="shared" si="145"/>
        <v>29.292055268466857</v>
      </c>
      <c r="AC163" s="6"/>
      <c r="AD163" s="5">
        <f t="shared" si="146"/>
        <v>1814.1078887215767</v>
      </c>
      <c r="AE163" s="3">
        <f t="shared" si="147"/>
        <v>1487.8905591030361</v>
      </c>
      <c r="AF163" s="3"/>
      <c r="AG163" s="3">
        <f t="shared" si="148"/>
        <v>1487.8905591030361</v>
      </c>
      <c r="AH163" s="3">
        <f t="shared" si="137"/>
        <v>1169.0568678666714</v>
      </c>
      <c r="AI163" s="3">
        <f t="shared" si="140"/>
        <v>55795.895966363852</v>
      </c>
    </row>
    <row r="164" spans="1:48" x14ac:dyDescent="0.25">
      <c r="V164" s="1">
        <f t="shared" si="141"/>
        <v>13</v>
      </c>
      <c r="W164" s="3">
        <v>2500</v>
      </c>
      <c r="X164" s="3">
        <f t="shared" si="138"/>
        <v>500</v>
      </c>
      <c r="Y164" s="3">
        <f t="shared" si="142"/>
        <v>58795.895966363852</v>
      </c>
      <c r="Z164" s="3">
        <f t="shared" si="143"/>
        <v>35000</v>
      </c>
      <c r="AA164" s="3">
        <f t="shared" si="144"/>
        <v>23795.895966363852</v>
      </c>
      <c r="AB164" s="6">
        <f t="shared" si="145"/>
        <v>29.936480484373128</v>
      </c>
      <c r="AC164" s="6"/>
      <c r="AD164" s="5">
        <f t="shared" si="146"/>
        <v>1964.0216556871262</v>
      </c>
      <c r="AE164" s="3">
        <f t="shared" si="147"/>
        <v>1646.2850870581879</v>
      </c>
      <c r="AF164" s="3"/>
      <c r="AG164" s="3">
        <f t="shared" si="148"/>
        <v>1646.2850870581879</v>
      </c>
      <c r="AH164" s="3">
        <f t="shared" si="137"/>
        <v>1293.5097112600049</v>
      </c>
      <c r="AI164" s="3">
        <f t="shared" si="140"/>
        <v>61735.690764682047</v>
      </c>
    </row>
    <row r="165" spans="1:48" x14ac:dyDescent="0.25">
      <c r="V165" s="1">
        <f t="shared" si="141"/>
        <v>14</v>
      </c>
      <c r="W165" s="3">
        <v>2500</v>
      </c>
      <c r="X165" s="3">
        <v>200</v>
      </c>
      <c r="Y165" s="3">
        <f t="shared" si="142"/>
        <v>64435.69076468204</v>
      </c>
      <c r="Z165" s="3">
        <f t="shared" si="143"/>
        <v>37500</v>
      </c>
      <c r="AA165" s="3">
        <f t="shared" si="144"/>
        <v>26935.69076468204</v>
      </c>
      <c r="AB165" s="6">
        <f t="shared" si="145"/>
        <v>30.595083055029338</v>
      </c>
      <c r="AC165" s="6"/>
      <c r="AD165" s="5">
        <f t="shared" si="146"/>
        <v>2106.0799426099238</v>
      </c>
      <c r="AE165" s="3">
        <f t="shared" si="147"/>
        <v>1804.1993414110971</v>
      </c>
      <c r="AF165" s="3"/>
      <c r="AG165" s="3">
        <f t="shared" si="148"/>
        <v>1804.1993414110971</v>
      </c>
      <c r="AH165" s="3">
        <f t="shared" si="137"/>
        <v>1417.5851968230049</v>
      </c>
      <c r="AI165" s="3">
        <f t="shared" si="140"/>
        <v>67657.475302916137</v>
      </c>
    </row>
    <row r="166" spans="1:48" x14ac:dyDescent="0.25">
      <c r="V166" s="1">
        <f t="shared" si="141"/>
        <v>15</v>
      </c>
      <c r="W166" s="3">
        <v>2500</v>
      </c>
      <c r="X166" s="3"/>
      <c r="Y166" s="3">
        <f t="shared" si="142"/>
        <v>70157.475302916137</v>
      </c>
      <c r="Z166" s="3">
        <f t="shared" si="143"/>
        <v>40000</v>
      </c>
      <c r="AA166" s="3">
        <f t="shared" si="144"/>
        <v>30157.475302916137</v>
      </c>
      <c r="AB166" s="6">
        <f t="shared" si="145"/>
        <v>31.268174882239983</v>
      </c>
      <c r="AC166" s="6"/>
      <c r="AD166" s="5">
        <f t="shared" si="146"/>
        <v>2243.734262301472</v>
      </c>
      <c r="AE166" s="3">
        <f t="shared" si="147"/>
        <v>1964.4093084816518</v>
      </c>
      <c r="AF166" s="3"/>
      <c r="AG166" s="3">
        <f t="shared" si="148"/>
        <v>1964.4093084816518</v>
      </c>
      <c r="AH166" s="3">
        <f t="shared" si="137"/>
        <v>1543.4644566641553</v>
      </c>
      <c r="AI166" s="3">
        <f t="shared" si="140"/>
        <v>73665.349068061943</v>
      </c>
    </row>
    <row r="167" spans="1:48" x14ac:dyDescent="0.25">
      <c r="V167" s="1">
        <f t="shared" si="141"/>
        <v>16</v>
      </c>
      <c r="W167" s="3">
        <v>2500</v>
      </c>
      <c r="X167" s="3"/>
      <c r="Y167" s="3">
        <f t="shared" si="142"/>
        <v>76165.349068061958</v>
      </c>
      <c r="Z167" s="3">
        <f t="shared" si="143"/>
        <v>42500</v>
      </c>
      <c r="AA167" s="3">
        <f t="shared" si="144"/>
        <v>33665.349068061958</v>
      </c>
      <c r="AB167" s="6">
        <f t="shared" si="145"/>
        <v>31.956074729649263</v>
      </c>
      <c r="AC167" s="6"/>
      <c r="AD167" s="5">
        <f t="shared" si="146"/>
        <v>2383.438820707061</v>
      </c>
      <c r="AE167" s="3">
        <f t="shared" si="147"/>
        <v>2132.629773905735</v>
      </c>
      <c r="AF167" s="3"/>
      <c r="AG167" s="3">
        <f t="shared" si="148"/>
        <v>2132.629773905735</v>
      </c>
      <c r="AH167" s="3">
        <f t="shared" si="137"/>
        <v>1675.6376794973633</v>
      </c>
      <c r="AI167" s="3">
        <f t="shared" si="140"/>
        <v>79973.616521465054</v>
      </c>
    </row>
    <row r="168" spans="1:48" x14ac:dyDescent="0.25">
      <c r="V168" s="1">
        <f t="shared" si="141"/>
        <v>17</v>
      </c>
      <c r="W168" s="3">
        <v>2500</v>
      </c>
      <c r="X168" s="3"/>
      <c r="Y168" s="3">
        <f t="shared" si="142"/>
        <v>82473.616521465068</v>
      </c>
      <c r="Z168" s="3">
        <f t="shared" si="143"/>
        <v>45000</v>
      </c>
      <c r="AA168" s="3">
        <f t="shared" si="144"/>
        <v>37473.616521465068</v>
      </c>
      <c r="AB168" s="6">
        <f>AB167*(1+$E$3)</f>
        <v>32.65910837370155</v>
      </c>
      <c r="AC168" s="6"/>
      <c r="AD168" s="5">
        <f t="shared" si="146"/>
        <v>2525.2868381390413</v>
      </c>
      <c r="AE168" s="3">
        <f t="shared" si="147"/>
        <v>2309.2612626010218</v>
      </c>
      <c r="AF168" s="3"/>
      <c r="AG168" s="3">
        <f>AE168-AM169</f>
        <v>0</v>
      </c>
      <c r="AH168" s="3">
        <f t="shared" si="137"/>
        <v>1814.4195634722316</v>
      </c>
      <c r="AI168" s="3">
        <f t="shared" si="140"/>
        <v>86597.297347538319</v>
      </c>
    </row>
    <row r="169" spans="1:48" x14ac:dyDescent="0.25">
      <c r="U169" s="20" t="s">
        <v>47</v>
      </c>
      <c r="V169" s="8">
        <f t="shared" si="141"/>
        <v>18</v>
      </c>
      <c r="W169" s="11">
        <v>2500</v>
      </c>
      <c r="X169" s="8"/>
      <c r="Y169" s="11">
        <f t="shared" si="142"/>
        <v>64527.822252977494</v>
      </c>
      <c r="Z169" s="11">
        <f t="shared" si="143"/>
        <v>34732.553288377341</v>
      </c>
      <c r="AA169" s="11">
        <f>Y169-Z169</f>
        <v>29795.268964600153</v>
      </c>
      <c r="AB169" s="12">
        <f>AB168*(1+$E$3)</f>
        <v>33.377608757922985</v>
      </c>
      <c r="AC169" s="12"/>
      <c r="AD169" s="13">
        <f t="shared" si="146"/>
        <v>1933.2667813616292</v>
      </c>
      <c r="AE169" s="11">
        <f t="shared" si="147"/>
        <v>1806.7790230833698</v>
      </c>
      <c r="AF169" s="11"/>
      <c r="AG169" s="11">
        <f t="shared" ref="AG169:AG172" si="149">AE169-AM170</f>
        <v>0</v>
      </c>
      <c r="AH169" s="11">
        <f t="shared" si="137"/>
        <v>1419.6120895655049</v>
      </c>
      <c r="AI169" s="11">
        <f t="shared" si="140"/>
        <v>67754.213365626361</v>
      </c>
      <c r="AJ169" s="17">
        <v>24569.475094560832</v>
      </c>
      <c r="AK169" s="11">
        <f>AJ169*(Z168/(Y168+AE168+AH168))</f>
        <v>12767.446711622655</v>
      </c>
      <c r="AL169" s="11">
        <f>AJ169*(AA168+AE168+AH168)/(Y168+AE168+AH168)</f>
        <v>11802.028382938177</v>
      </c>
      <c r="AM169" s="11">
        <f>MIN(AE168,AL169)</f>
        <v>2309.2612626010218</v>
      </c>
      <c r="AN169" s="11">
        <f>AL169-AM169</f>
        <v>9492.7671203371556</v>
      </c>
      <c r="AO169" s="8"/>
      <c r="AP169" s="8"/>
      <c r="AQ169" s="13">
        <f>AN169/AB169+AK169/AB169</f>
        <v>666.92056921770381</v>
      </c>
      <c r="AR169" s="8"/>
      <c r="AS169" s="11">
        <f>IF((AL169-$AF$6)&lt;0,0,(AL169-$AF$6)*$AF$5)</f>
        <v>33.489190779104483</v>
      </c>
      <c r="AT169" s="11">
        <f>AJ169-AS169</f>
        <v>24535.985903781726</v>
      </c>
    </row>
    <row r="170" spans="1:48" x14ac:dyDescent="0.25">
      <c r="U170" s="20" t="s">
        <v>47</v>
      </c>
      <c r="V170" s="8">
        <f>V169+1</f>
        <v>19</v>
      </c>
      <c r="W170" s="11">
        <v>2500</v>
      </c>
      <c r="X170" s="8"/>
      <c r="Y170" s="11">
        <f t="shared" si="142"/>
        <v>45684.738271065529</v>
      </c>
      <c r="Z170" s="11">
        <f>W170+Z169-AK170</f>
        <v>24637.60810933364</v>
      </c>
      <c r="AA170" s="11">
        <f>Y170-Z170</f>
        <v>21047.13016173189</v>
      </c>
      <c r="AB170" s="12">
        <f>AB169*(1+$E$3)</f>
        <v>34.111916150597288</v>
      </c>
      <c r="AC170" s="12"/>
      <c r="AD170" s="13">
        <f t="shared" si="146"/>
        <v>1339.2603942087728</v>
      </c>
      <c r="AE170" s="11">
        <f t="shared" si="147"/>
        <v>1279.1726715898349</v>
      </c>
      <c r="AF170" s="11"/>
      <c r="AG170" s="11">
        <f t="shared" si="149"/>
        <v>0</v>
      </c>
      <c r="AH170" s="11">
        <f t="shared" si="137"/>
        <v>1005.0642419634418</v>
      </c>
      <c r="AI170" s="11">
        <f t="shared" si="140"/>
        <v>47968.975184618801</v>
      </c>
      <c r="AJ170" s="11">
        <f>AJ169</f>
        <v>24569.475094560832</v>
      </c>
      <c r="AK170" s="11">
        <f>AJ170*(Z169/(Y169+AE169+AH169))</f>
        <v>12594.9451790437</v>
      </c>
      <c r="AL170" s="11">
        <f>AJ170*(AA169+AE169+AH169)/(Y169+AE169+AH169)</f>
        <v>11974.529915517134</v>
      </c>
      <c r="AM170" s="11">
        <f>MIN(AE169,AL170)</f>
        <v>1806.7790230833698</v>
      </c>
      <c r="AN170" s="11">
        <f>AL170-AM170</f>
        <v>10167.750892433764</v>
      </c>
      <c r="AO170" s="8"/>
      <c r="AP170" s="8"/>
      <c r="AQ170" s="13">
        <f>AN170/AB170+AK170/AB170</f>
        <v>667.2945597950204</v>
      </c>
      <c r="AR170" s="8"/>
      <c r="AS170" s="11">
        <f t="shared" ref="AS170:AS172" si="150">IF((AL170-$AF$6)&lt;0,0,(AL170-$AF$6)*$AF$5)</f>
        <v>68.075748061185408</v>
      </c>
      <c r="AT170" s="11">
        <f>AJ170-AS170</f>
        <v>24501.399346499646</v>
      </c>
    </row>
    <row r="171" spans="1:48" x14ac:dyDescent="0.25">
      <c r="U171" s="20" t="s">
        <v>47</v>
      </c>
      <c r="V171" s="8">
        <f t="shared" si="141"/>
        <v>20</v>
      </c>
      <c r="W171" s="8"/>
      <c r="X171" s="8"/>
      <c r="Y171" s="11">
        <f t="shared" si="142"/>
        <v>23399.50009005798</v>
      </c>
      <c r="Z171" s="11">
        <f t="shared" ref="Z171:Z172" si="151">W171+Z170-AK171</f>
        <v>12018.345419187151</v>
      </c>
      <c r="AA171" s="11">
        <f t="shared" ref="AA171:AA172" si="152">Y171-Z171</f>
        <v>11381.154670870828</v>
      </c>
      <c r="AB171" s="12">
        <f t="shared" ref="AB171:AB172" si="153">AB170*(1+$E$3)</f>
        <v>34.862378305910433</v>
      </c>
      <c r="AC171" s="12"/>
      <c r="AD171" s="13">
        <f t="shared" si="146"/>
        <v>671.19632185538296</v>
      </c>
      <c r="AE171" s="11">
        <f t="shared" si="147"/>
        <v>655.18600252162344</v>
      </c>
      <c r="AF171" s="11"/>
      <c r="AG171" s="11">
        <f t="shared" si="149"/>
        <v>0</v>
      </c>
      <c r="AH171" s="11">
        <f t="shared" si="137"/>
        <v>514.78900198127565</v>
      </c>
      <c r="AI171" s="11">
        <f t="shared" si="140"/>
        <v>24569.475094560879</v>
      </c>
      <c r="AJ171" s="11">
        <f>AJ170</f>
        <v>24569.475094560832</v>
      </c>
      <c r="AK171" s="11">
        <f>AJ171*(Z170/(Y170+AE170+AH170))</f>
        <v>12619.262690146488</v>
      </c>
      <c r="AL171" s="11">
        <f>AJ171*(AA170+AE170+AH170)/(Y170+AE170+AH170)</f>
        <v>11950.212404414346</v>
      </c>
      <c r="AM171" s="11">
        <f t="shared" ref="AM171:AM172" si="154">MIN(AE170,AL171)</f>
        <v>1279.1726715898349</v>
      </c>
      <c r="AN171" s="11">
        <f t="shared" ref="AN171:AN172" si="155">AL171-AM171</f>
        <v>10671.039732824511</v>
      </c>
      <c r="AO171" s="8"/>
      <c r="AP171" s="8"/>
      <c r="AQ171" s="13">
        <f t="shared" ref="AQ171:AQ172" si="156">AN171/AB171+AK171/AB171</f>
        <v>668.06407235338997</v>
      </c>
      <c r="AR171" s="8"/>
      <c r="AS171" s="11">
        <f t="shared" si="150"/>
        <v>63.200087085076305</v>
      </c>
      <c r="AT171" s="11">
        <f t="shared" ref="AT171:AT172" si="157">AJ171-AS171</f>
        <v>24506.275007475757</v>
      </c>
    </row>
    <row r="172" spans="1:48" x14ac:dyDescent="0.25">
      <c r="U172" s="20" t="s">
        <v>47</v>
      </c>
      <c r="V172" s="8">
        <f t="shared" si="141"/>
        <v>21</v>
      </c>
      <c r="W172" s="8"/>
      <c r="X172" s="8"/>
      <c r="Y172" s="11">
        <f t="shared" si="142"/>
        <v>4.4556470233492863E-11</v>
      </c>
      <c r="Z172" s="11">
        <f t="shared" si="151"/>
        <v>2.3646862246096134E-11</v>
      </c>
      <c r="AA172" s="11">
        <f t="shared" si="152"/>
        <v>2.0909607987396729E-11</v>
      </c>
      <c r="AB172" s="12">
        <f t="shared" si="153"/>
        <v>35.629350628640459</v>
      </c>
      <c r="AC172" s="12"/>
      <c r="AD172" s="13">
        <f t="shared" si="146"/>
        <v>1.2505552149377763E-12</v>
      </c>
      <c r="AE172" s="11">
        <f t="shared" si="147"/>
        <v>1.2475811665378003E-12</v>
      </c>
      <c r="AF172" s="11"/>
      <c r="AG172" s="11">
        <f t="shared" si="149"/>
        <v>1.2475811665378003E-12</v>
      </c>
      <c r="AH172" s="11">
        <f t="shared" si="137"/>
        <v>9.8024234513684303E-13</v>
      </c>
      <c r="AI172" s="11">
        <f t="shared" si="140"/>
        <v>4.6784293745167505E-11</v>
      </c>
      <c r="AJ172" s="11">
        <f>AJ171</f>
        <v>24569.475094560832</v>
      </c>
      <c r="AK172" s="11">
        <f>AJ172*(Z171/(Y171+AE171+AH171))</f>
        <v>12018.345419187128</v>
      </c>
      <c r="AL172" s="11">
        <f>AJ172*(AA171+AE171+AH171)/(Y171+AE171+AH171)</f>
        <v>12551.129675373702</v>
      </c>
      <c r="AM172" s="11">
        <f t="shared" si="154"/>
        <v>655.18600252162344</v>
      </c>
      <c r="AN172" s="11">
        <f t="shared" si="155"/>
        <v>11895.94367285208</v>
      </c>
      <c r="AO172" s="8"/>
      <c r="AP172" s="8"/>
      <c r="AQ172" s="13">
        <f t="shared" si="156"/>
        <v>671.19632185538171</v>
      </c>
      <c r="AR172" s="8"/>
      <c r="AS172" s="11">
        <f t="shared" si="150"/>
        <v>183.68399991242734</v>
      </c>
      <c r="AT172" s="11">
        <f t="shared" si="157"/>
        <v>24385.791094648404</v>
      </c>
    </row>
    <row r="173" spans="1:48" x14ac:dyDescent="0.25">
      <c r="A173" s="1" t="s">
        <v>56</v>
      </c>
      <c r="B173" s="3"/>
      <c r="C173" s="3">
        <f>SUM(C151:C172)</f>
        <v>0</v>
      </c>
      <c r="D173" s="3"/>
      <c r="E173" s="3"/>
      <c r="F173" s="3"/>
      <c r="G173" s="3"/>
      <c r="H173" s="3">
        <f>SUM(H151:H172)</f>
        <v>0</v>
      </c>
      <c r="I173" s="3">
        <f>SUM(I151:I172)</f>
        <v>0</v>
      </c>
      <c r="J173" s="3"/>
      <c r="K173" s="3">
        <f>SUM(K151:K172)</f>
        <v>0</v>
      </c>
      <c r="L173" s="3"/>
      <c r="M173" s="3"/>
      <c r="N173" s="3"/>
      <c r="O173" s="3"/>
      <c r="P173" s="5"/>
      <c r="Q173" s="3"/>
      <c r="R173" s="3">
        <f>SUM(R151:R172)</f>
        <v>0</v>
      </c>
      <c r="S173" s="3">
        <f>SUM(S151:S172)</f>
        <v>0</v>
      </c>
      <c r="U173" s="1" t="s">
        <v>56</v>
      </c>
      <c r="W173" s="3">
        <f>SUM(W151:W172)</f>
        <v>50000</v>
      </c>
      <c r="X173" s="3">
        <f>SUM(X151:X172)</f>
        <v>7200</v>
      </c>
      <c r="Y173" s="3"/>
      <c r="Z173" s="3"/>
      <c r="AA173" s="3"/>
      <c r="AB173" s="6"/>
      <c r="AC173" s="6"/>
      <c r="AD173" s="5"/>
      <c r="AE173" s="3">
        <f>SUM(AE151:AE172)</f>
        <v>23003.624211816277</v>
      </c>
      <c r="AF173" s="3"/>
      <c r="AG173" s="3"/>
      <c r="AH173" s="3">
        <f>SUM(AH151:AH172)</f>
        <v>18074.276166427077</v>
      </c>
      <c r="AI173" s="3"/>
      <c r="AJ173" s="3"/>
      <c r="AS173" s="3">
        <f>SUM(AS151:AS172)</f>
        <v>348.44902583779356</v>
      </c>
      <c r="AT173" s="3">
        <f>SUM(AT151:AT172)</f>
        <v>97929.451352405522</v>
      </c>
      <c r="AV173" s="3"/>
    </row>
    <row r="174" spans="1:48" x14ac:dyDescent="0.25">
      <c r="A174" s="1" t="s">
        <v>62</v>
      </c>
      <c r="C174" s="3">
        <f>SUM(C151:C168)</f>
        <v>0</v>
      </c>
      <c r="D174" s="3"/>
      <c r="G174" s="5"/>
      <c r="H174" s="3">
        <f>SUM(H151:H168)</f>
        <v>0</v>
      </c>
      <c r="I174" s="3">
        <f>SUM(I151:I168)</f>
        <v>0</v>
      </c>
      <c r="K174" s="3">
        <f>SUM(K151:K168)</f>
        <v>0</v>
      </c>
      <c r="R174" s="3">
        <f>SUM(R151:R168)</f>
        <v>0</v>
      </c>
      <c r="S174" s="3">
        <f>SUM(S151:S168)</f>
        <v>0</v>
      </c>
      <c r="U174" s="1" t="s">
        <v>62</v>
      </c>
      <c r="W174" s="3">
        <f>SUM(W151:W168)</f>
        <v>45000</v>
      </c>
      <c r="X174" s="3">
        <f>SUM(X151:X168)</f>
        <v>7200</v>
      </c>
      <c r="Y174" s="3"/>
      <c r="Z174" s="3"/>
      <c r="AA174" s="3"/>
      <c r="AB174" s="6"/>
      <c r="AC174" s="6"/>
      <c r="AD174" s="5"/>
      <c r="AE174" s="3">
        <f>SUM(AE151:AE168)</f>
        <v>19262.486514621447</v>
      </c>
      <c r="AF174" s="3"/>
      <c r="AG174" s="3"/>
      <c r="AH174" s="3">
        <f>SUM(AH151:AH168)</f>
        <v>15134.810832916852</v>
      </c>
      <c r="AI174" s="3"/>
      <c r="AJ174" s="3"/>
      <c r="AS174" s="3">
        <f>SUM(AS151:AS168)</f>
        <v>0</v>
      </c>
      <c r="AT174" s="3">
        <f>SUM(AT151:AT168)</f>
        <v>0</v>
      </c>
      <c r="AV174" s="3"/>
    </row>
    <row r="175" spans="1:48" x14ac:dyDescent="0.25">
      <c r="A175" s="1" t="s">
        <v>47</v>
      </c>
      <c r="C175" s="3">
        <f>SUM(C169:C172)</f>
        <v>0</v>
      </c>
      <c r="D175" s="3"/>
      <c r="G175" s="5"/>
      <c r="H175" s="3">
        <f>SUM(H169:H172)</f>
        <v>0</v>
      </c>
      <c r="I175" s="3">
        <f>SUM(I169:I172)</f>
        <v>0</v>
      </c>
      <c r="K175" s="3">
        <f>SUM(K169:K172)</f>
        <v>0</v>
      </c>
      <c r="R175" s="3">
        <f>SUM(R169:R172)</f>
        <v>0</v>
      </c>
      <c r="S175" s="3">
        <f>SUM(S169:S172)</f>
        <v>0</v>
      </c>
      <c r="U175" s="1" t="s">
        <v>47</v>
      </c>
      <c r="W175" s="3">
        <f>SUM(W169:W172)</f>
        <v>5000</v>
      </c>
      <c r="X175" s="3">
        <f>SUM(X169:X172)</f>
        <v>0</v>
      </c>
      <c r="AD175" s="5"/>
      <c r="AE175" s="3">
        <f>SUM(AE169:AE172)</f>
        <v>3741.1376971948293</v>
      </c>
      <c r="AH175" s="3">
        <f>SUM(AH169:AH172)</f>
        <v>2939.4653335102234</v>
      </c>
      <c r="AS175" s="3">
        <f>SUM(AS169:AS172)</f>
        <v>348.44902583779356</v>
      </c>
      <c r="AT175" s="3">
        <f>SUM(AT169:AT172)</f>
        <v>97929.451352405522</v>
      </c>
      <c r="AV175" s="3">
        <f>AT175+S175</f>
        <v>97929.451352405522</v>
      </c>
    </row>
    <row r="181" spans="22:25" x14ac:dyDescent="0.25">
      <c r="V181" s="7" t="s">
        <v>39</v>
      </c>
      <c r="W181" s="7" t="s">
        <v>43</v>
      </c>
      <c r="X181" s="7" t="s">
        <v>44</v>
      </c>
      <c r="Y181" s="7" t="s">
        <v>45</v>
      </c>
    </row>
    <row r="182" spans="22:25" x14ac:dyDescent="0.25">
      <c r="V182" s="7" t="s">
        <v>40</v>
      </c>
      <c r="W182" s="6">
        <f>FV(5%,14,-3000,0,1)</f>
        <v>61735.690764682033</v>
      </c>
      <c r="X182" s="6">
        <f>FV(5%,4,0,W182*-1,1)</f>
        <v>75040.117972538297</v>
      </c>
    </row>
    <row r="183" spans="22:25" x14ac:dyDescent="0.25">
      <c r="V183" s="7" t="s">
        <v>41</v>
      </c>
      <c r="W183" s="6">
        <f>FV(5%,1,-2700,0,1)</f>
        <v>2835.0000000000027</v>
      </c>
      <c r="X183" s="6">
        <f>FV(5%,3,0,W183*-1,1)</f>
        <v>3281.8668750000033</v>
      </c>
    </row>
    <row r="184" spans="22:25" x14ac:dyDescent="0.25">
      <c r="V184" s="7" t="s">
        <v>42</v>
      </c>
      <c r="W184" s="6">
        <f>FV(5%,3,-2500,0,1)</f>
        <v>8275.3125000000073</v>
      </c>
      <c r="X184" s="6">
        <f>FV(5%,0,0,W184*-1,1)</f>
        <v>8275.3125000000073</v>
      </c>
    </row>
    <row r="185" spans="22:25" x14ac:dyDescent="0.25">
      <c r="X185" s="6">
        <f>SUM(X182:X184)</f>
        <v>86597.297347538319</v>
      </c>
      <c r="Y185" s="6">
        <f>SUM(Y168,AE168,AH168)</f>
        <v>86597.297347538319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RESP vs Taxable Account 7% Nom</vt:lpstr>
      <vt:lpstr>RESP vs Taxable Account 5% Real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2017-08-17T12:23:38Z</dcterms:modified>
</cp:coreProperties>
</file>